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activeTab="16"/>
  </bookViews>
  <sheets>
    <sheet name="бюджет" sheetId="1" state="hidden" r:id="rId1"/>
    <sheet name="бюджет 20-22" sheetId="2" state="hidden" r:id="rId2"/>
    <sheet name="бюджет23-27" sheetId="3" state="hidden" r:id="rId3"/>
    <sheet name="изм 36" sheetId="4" state="hidden" r:id="rId4"/>
    <sheet name="изм 37Дума" sheetId="5" state="hidden" r:id="rId5"/>
    <sheet name="изм 38" sheetId="6" state="hidden" r:id="rId6"/>
    <sheet name="изм 39" sheetId="7" state="hidden" r:id="rId7"/>
    <sheet name="изм 40" sheetId="8" state="hidden" r:id="rId8"/>
    <sheet name="изм 41" sheetId="9" state="hidden" r:id="rId9"/>
    <sheet name="изм 42" sheetId="10" state="hidden" r:id="rId10"/>
    <sheet name="изм 43 " sheetId="11" state="hidden" r:id="rId11"/>
    <sheet name="бюджет изм 44" sheetId="12" state="hidden" r:id="rId12"/>
    <sheet name="изм 45" sheetId="13" state="hidden" r:id="rId13"/>
    <sheet name="изм 46" sheetId="14" state="hidden" r:id="rId14"/>
    <sheet name="изм 47)" sheetId="15" state="hidden" r:id="rId15"/>
    <sheet name="изм 48 коррект бюджет" sheetId="16" state="hidden" r:id="rId16"/>
    <sheet name="изм 57" sheetId="17" r:id="rId17"/>
    <sheet name="изм 56" sheetId="18" state="hidden" r:id="rId18"/>
    <sheet name="55.400-па от 23.04.2025" sheetId="19" state="hidden" r:id="rId19"/>
    <sheet name="54.330-па от 01.04.2024" sheetId="20" state="hidden" r:id="rId20"/>
  </sheets>
  <definedNames>
    <definedName name="_xlnm.Print_Area" localSheetId="0">бюджет!$A$1:$N$86</definedName>
    <definedName name="_xlnm.Print_Area" localSheetId="1">'бюджет 20-22'!$A$1:$I$87</definedName>
    <definedName name="_xlnm.Print_Area" localSheetId="2">'бюджет23-27'!$A$1:$K$53</definedName>
    <definedName name="_xlnm.Print_Area" localSheetId="3">'изм 36'!$A$1:$K$57</definedName>
    <definedName name="_xlnm.Print_Area" localSheetId="4">'изм 37Дума'!$A$1:$K$58</definedName>
    <definedName name="_xlnm.Print_Area" localSheetId="5">'изм 38'!$A$1:$K$58</definedName>
    <definedName name="_xlnm.Print_Area" localSheetId="6">'изм 39'!$A$1:$K$59</definedName>
    <definedName name="_xlnm.Print_Area" localSheetId="7">'изм 40'!$A$1:$L$65</definedName>
    <definedName name="_xlnm.Print_Area" localSheetId="8">'изм 41'!$A$1:$L$57</definedName>
    <definedName name="_xlnm.Print_Area" localSheetId="9">'изм 42'!$A$1:$L$59</definedName>
    <definedName name="_xlnm.Print_Area" localSheetId="10">'изм 43 '!$A$1:$L$59</definedName>
    <definedName name="_xlnm.Print_Area" localSheetId="11">'бюджет изм 44'!$A$1:$L$61</definedName>
    <definedName name="_xlnm.Print_Area" localSheetId="12">'изм 45'!$A$1:$L$65</definedName>
    <definedName name="_xlnm.Print_Area" localSheetId="13">'изм 46'!$A$1:$L$66</definedName>
    <definedName name="_xlnm.Print_Area" localSheetId="14">'изм 47)'!$A$1:$O$68</definedName>
    <definedName name="_xlnm.Print_Area" localSheetId="15">'изм 48 коррект бюджет'!$A$1:$P$97</definedName>
    <definedName name="_xlnm.Print_Area" localSheetId="16">'изм 57'!$A$1:$P$99</definedName>
    <definedName name="_xlnm.Print_Area" localSheetId="17">'изм 56'!$A$1:$P$99</definedName>
    <definedName name="_xlnm.Print_Area" localSheetId="18">'55.400-па от 23.04.2025'!$A$1:$P$99</definedName>
    <definedName name="_xlnm.Print_Area" localSheetId="19">'54.330-па от 01.04.2024'!$A$1:$P$99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<sst xmlns="http://schemas.openxmlformats.org/spreadsheetml/2006/main" count="2477" uniqueCount="220">
  <si>
    <t>№</t>
  </si>
  <si>
    <t>Наименование</t>
  </si>
  <si>
    <t>Исполни-тели меро-приятий</t>
  </si>
  <si>
    <t>Сроки реали-зации меро-прия-тий</t>
  </si>
  <si>
    <t>ВСЕГО</t>
  </si>
  <si>
    <t>бюджет</t>
  </si>
  <si>
    <t xml:space="preserve">1. </t>
  </si>
  <si>
    <t>Задача 1: Повышение уровня благоустройства территорий общего пользования (мест массового отдыха жителей)</t>
  </si>
  <si>
    <t>1.1.</t>
  </si>
  <si>
    <r>
      <rPr>
        <b/>
        <sz val="10"/>
        <rFont val="Times New Roman"/>
        <charset val="134"/>
      </rPr>
      <t xml:space="preserve">Основное мероприятие: </t>
    </r>
    <r>
      <rPr>
        <sz val="10"/>
        <rFont val="Times New Roman"/>
        <charset val="134"/>
      </rPr>
      <t>Федеральный проект «Формирование комфорт-ной городской среды»</t>
    </r>
  </si>
  <si>
    <t>всего</t>
  </si>
  <si>
    <t>1.1.1.</t>
  </si>
  <si>
    <t xml:space="preserve">Реализация Программ формирование комфортной городской среды, в том числе: </t>
  </si>
  <si>
    <t>Всего</t>
  </si>
  <si>
    <t>ФБ</t>
  </si>
  <si>
    <t>КБ</t>
  </si>
  <si>
    <t>МБ (С)</t>
  </si>
  <si>
    <t>МБ</t>
  </si>
  <si>
    <t>1.1.1.1</t>
  </si>
  <si>
    <t>Проведение ремонта территорий общего    пользования (мест массового отдыха жителей) согласно приложению 6</t>
  </si>
  <si>
    <t>ФБ УСКР</t>
  </si>
  <si>
    <t>ФБ УБ</t>
  </si>
  <si>
    <t>ФБ МКУК ЦСКДУ</t>
  </si>
  <si>
    <t>КБ УСКР</t>
  </si>
  <si>
    <t>КБ УБ</t>
  </si>
  <si>
    <t>КБ МКУК ЦСКДУ</t>
  </si>
  <si>
    <t>МБ (С)УСКР</t>
  </si>
  <si>
    <t>МБ (С)УБ</t>
  </si>
  <si>
    <t>МБ (С) МКУК ЦСКДУ</t>
  </si>
  <si>
    <t>МБ УСКР</t>
  </si>
  <si>
    <t>МБ УБ</t>
  </si>
  <si>
    <t>МБ МКУК ЦСКДУ</t>
  </si>
  <si>
    <t>1.1.1.2.</t>
  </si>
  <si>
    <t>Проведение экспертизы сметной документации (проверка достоверности определения сметной стоимости, экспертиза выполненных работ), подготовка технической документации, включая изыскательские, проектные, экспертные работы, разработка дизайн-проекта</t>
  </si>
  <si>
    <t>1.1.1.3.</t>
  </si>
  <si>
    <t>Проведение цифровизации</t>
  </si>
  <si>
    <t>2.</t>
  </si>
  <si>
    <t>Задача 2: Повышение уровня благоустройства территорий, детских и спортивных площадок</t>
  </si>
  <si>
    <t>2.1.</t>
  </si>
  <si>
    <t>Основное мероприятие: Благоустройство территорий, детских и спортивных площадок</t>
  </si>
  <si>
    <t>2.1.1.</t>
  </si>
  <si>
    <t>Благоустройство территорий, детских и спортивных площадок, в том числе:</t>
  </si>
  <si>
    <t>2.1.1.1.</t>
  </si>
  <si>
    <t>Благоустройство территорий, детских и спортивных площадок, согласно приложению 7</t>
  </si>
  <si>
    <t>МБ (С) УСКР</t>
  </si>
  <si>
    <t>МБ (С) УБ</t>
  </si>
  <si>
    <t>2.1.1.2.</t>
  </si>
  <si>
    <t>Проведение экспертизы сметной докумен-тации (проверка достоверности определения сметной стоимости, экспертиза выполненных работ), подготовка технической документации, включая изыскательские, проектные, экс-пертные работы, разработка дизайн-проекта</t>
  </si>
  <si>
    <t>2.1.2.</t>
  </si>
  <si>
    <t>Реализация проектов "1000 дворов" (благоустройство дворовых территорий), в том числе:</t>
  </si>
  <si>
    <t>всего УСКР</t>
  </si>
  <si>
    <t>2.1.2.1.</t>
  </si>
  <si>
    <t>Реализация проектов "1000 дворов" (благоустройство дворовых территорий), согласно приложению 7</t>
  </si>
  <si>
    <t xml:space="preserve">МБ (С) УСКР </t>
  </si>
  <si>
    <t>2.1.2.2.</t>
  </si>
  <si>
    <t>3.</t>
  </si>
  <si>
    <t>Задача 3: Благоустройство территорий инициативного бюджетирования  «Твой проект»</t>
  </si>
  <si>
    <t>3.1.</t>
  </si>
  <si>
    <t>Основное мероприятие: Благоустройство территорий инициативного бюджетирования "Твой проект"</t>
  </si>
  <si>
    <t>3.1.1.</t>
  </si>
  <si>
    <t>Реализация мероприятий по благоустройству территорий инициативного бюджетирования "Твой проект", в том числе:</t>
  </si>
  <si>
    <t>3.1.1.1.</t>
  </si>
  <si>
    <t>Благоустройство территорий инициативного бюджетирования "Твой проект", согласно приложению 10</t>
  </si>
  <si>
    <t>КБ Администрация</t>
  </si>
  <si>
    <t>КБ УСКР прогноз</t>
  </si>
  <si>
    <t xml:space="preserve">КБ УСКР </t>
  </si>
  <si>
    <t>КБ УБ прогноз</t>
  </si>
  <si>
    <t xml:space="preserve">КБ УБ </t>
  </si>
  <si>
    <t>МБ (С) Администрация</t>
  </si>
  <si>
    <t>МБ Администрация</t>
  </si>
  <si>
    <t>ИТОГО по программе:</t>
  </si>
  <si>
    <t xml:space="preserve">КБ </t>
  </si>
  <si>
    <t>КБ прогноз</t>
  </si>
  <si>
    <t xml:space="preserve">МБ </t>
  </si>
  <si>
    <t>во</t>
  </si>
  <si>
    <t>ВБ</t>
  </si>
  <si>
    <t>2018-2019 год</t>
  </si>
  <si>
    <r>
      <rPr>
        <b/>
        <sz val="10"/>
        <rFont val="Times New Roman"/>
        <charset val="134"/>
      </rPr>
      <t xml:space="preserve">Основное мероприятие: </t>
    </r>
    <r>
      <rPr>
        <sz val="10"/>
        <rFont val="Times New Roman"/>
        <charset val="134"/>
      </rPr>
      <t>Федеральный проект «Формирование комфортной городской среды»</t>
    </r>
  </si>
  <si>
    <t xml:space="preserve">ФБ </t>
  </si>
  <si>
    <t>Благоустройство общественных территорий согласно приложению 6</t>
  </si>
  <si>
    <t>Основное мероприятие: Организация благоустройства территорий Артемовского городского округа</t>
  </si>
  <si>
    <t>Благоустройство общесственных и дворовых территорий, в том числе:</t>
  </si>
  <si>
    <t xml:space="preserve">Благоустройство территорий в рамках реализации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(реализация проекта "1000 дворов" </t>
  </si>
  <si>
    <t>2.1.3.</t>
  </si>
  <si>
    <t xml:space="preserve">Ремонт объектов и элементов благоустройства </t>
  </si>
  <si>
    <t>Организация благоустройства территорий инициативного бюджетирования "Твой проект"</t>
  </si>
  <si>
    <t>Благоустройство территорий инициативного бюджетирования "Твой проект" согласно приложению 10</t>
  </si>
  <si>
    <t>2018-2019</t>
  </si>
  <si>
    <t>2020-2022</t>
  </si>
  <si>
    <t>изм. 36</t>
  </si>
  <si>
    <t>ФБ прогноз</t>
  </si>
  <si>
    <t>1.1.2.</t>
  </si>
  <si>
    <t>Создание комфортной город-ской среды в малых городах и исторических поселениях - победителях Всероссийского конкурса лучших проектов создания комфортной
городской среды согласно приложению 6</t>
  </si>
  <si>
    <t>ФБ УСКР прогноз</t>
  </si>
  <si>
    <t>изм. 37 Дума</t>
  </si>
  <si>
    <t xml:space="preserve">ФБ УСКР </t>
  </si>
  <si>
    <t xml:space="preserve">МБ УСКР </t>
  </si>
  <si>
    <t>изм. 38</t>
  </si>
  <si>
    <t>кб</t>
  </si>
  <si>
    <t>мб</t>
  </si>
  <si>
    <t>изм. 39</t>
  </si>
  <si>
    <t>Администрация</t>
  </si>
  <si>
    <t>изм. 40</t>
  </si>
  <si>
    <t>фонтан</t>
  </si>
  <si>
    <t>смета+</t>
  </si>
  <si>
    <t>УСКР</t>
  </si>
  <si>
    <t>сквер кир 46</t>
  </si>
  <si>
    <t>твой проект</t>
  </si>
  <si>
    <t>КП (+) на выемку асфальта</t>
  </si>
  <si>
    <t>с уГА мп 54</t>
  </si>
  <si>
    <t>с ускр мп 54</t>
  </si>
  <si>
    <t>с уб мп 54</t>
  </si>
  <si>
    <t xml:space="preserve">3 дет площ </t>
  </si>
  <si>
    <t>доп согл возврат в бюджет пк</t>
  </si>
  <si>
    <t>перенос на 2.1.3</t>
  </si>
  <si>
    <t>изм. 41</t>
  </si>
  <si>
    <t>изм. 42</t>
  </si>
  <si>
    <t>ФБ МБУ АРХ</t>
  </si>
  <si>
    <t>МБ МБУ АРХ</t>
  </si>
  <si>
    <t xml:space="preserve">                                                                              изм. 43</t>
  </si>
  <si>
    <t>изм. 43</t>
  </si>
  <si>
    <t>бюджет 2024-2026                                                                                изм. 44</t>
  </si>
  <si>
    <t>бюджет 2024-2026 изм. 44</t>
  </si>
  <si>
    <t>2023-2025</t>
  </si>
  <si>
    <t>2026-2027</t>
  </si>
  <si>
    <t xml:space="preserve"> </t>
  </si>
  <si>
    <t xml:space="preserve">  изм. 45</t>
  </si>
  <si>
    <t>Благоустройство территорий в рамках реализации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(Благоустройство дальневосточных дворов)</t>
  </si>
  <si>
    <t>2.1.4.</t>
  </si>
  <si>
    <t>Ремонт объектов и элементов благоустройства                                       510 0503 30 004 22151 200(240)</t>
  </si>
  <si>
    <t>изм. 45</t>
  </si>
  <si>
    <t xml:space="preserve">  изм. 46</t>
  </si>
  <si>
    <t>МБ МБУ АИГ</t>
  </si>
  <si>
    <t>изм. 46</t>
  </si>
  <si>
    <t xml:space="preserve">№
п/п
</t>
  </si>
  <si>
    <t xml:space="preserve">Наименование комплекса процессных мероприятий; наименование 
мероприятия
</t>
  </si>
  <si>
    <t>Испол-нители мероп-риятий</t>
  </si>
  <si>
    <t>Сроки реали-зации мероп-риятий</t>
  </si>
  <si>
    <t>Объем финансового обеспечения (руб.)</t>
  </si>
  <si>
    <t>Источники финансо-вого обеспече-ния</t>
  </si>
  <si>
    <t>Получатели средств</t>
  </si>
  <si>
    <t>всего, в том числе по источникам финансирования</t>
  </si>
  <si>
    <t xml:space="preserve">  изм. 47</t>
  </si>
  <si>
    <r>
      <rPr>
        <b/>
        <sz val="10"/>
        <rFont val="Times New Roman"/>
        <charset val="134"/>
      </rPr>
      <t xml:space="preserve">Комплекс процессных мероприятий: </t>
    </r>
    <r>
      <rPr>
        <sz val="10"/>
        <rFont val="Times New Roman"/>
        <charset val="134"/>
      </rPr>
      <t>Федеральный проект «Формирование комфортной городской среды»</t>
    </r>
  </si>
  <si>
    <t>Х</t>
  </si>
  <si>
    <t>УДДБ, УСКР, УБ</t>
  </si>
  <si>
    <t>УБ</t>
  </si>
  <si>
    <t xml:space="preserve">МБ (С)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</si>
  <si>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
городской среды согласно приложению 6</t>
  </si>
  <si>
    <t>УДДБ, УСКР, МБУ "АИГ"</t>
  </si>
  <si>
    <t>2023-2024</t>
  </si>
  <si>
    <t xml:space="preserve">УСКР </t>
  </si>
  <si>
    <t>МБУ АИГ</t>
  </si>
  <si>
    <t>Комплекс процессных мероприятий: Организация благоустройства территорий Артемовского городского округа</t>
  </si>
  <si>
    <t>УДДБ, УЖО, УСКР, УБ</t>
  </si>
  <si>
    <t>УСКР,                                                           УБ</t>
  </si>
  <si>
    <t>Благоустройство территорий, детских и спортивных площадок, согласно                          приложению 7</t>
  </si>
  <si>
    <t>2023-2026</t>
  </si>
  <si>
    <t>УДДБ, УСКР</t>
  </si>
  <si>
    <t>УЖО, УСКР</t>
  </si>
  <si>
    <t xml:space="preserve">Комплекс процессных мероприятий: Реализация проектов инициативного бюджети-рования по направлению «Твой проект»
</t>
  </si>
  <si>
    <t xml:space="preserve">КБ  </t>
  </si>
  <si>
    <t xml:space="preserve"> УБ</t>
  </si>
  <si>
    <t>4.</t>
  </si>
  <si>
    <t>5.</t>
  </si>
  <si>
    <t>6.</t>
  </si>
  <si>
    <t>7.</t>
  </si>
  <si>
    <t>8.</t>
  </si>
  <si>
    <t>изм. 47</t>
  </si>
  <si>
    <t>2026-2023</t>
  </si>
  <si>
    <t>Приложение 4</t>
  </si>
  <si>
    <t xml:space="preserve">к постановлению администрации </t>
  </si>
  <si>
    <t xml:space="preserve">Артемовского городского округа </t>
  </si>
  <si>
    <t xml:space="preserve">от                                № </t>
  </si>
  <si>
    <t>Приложение 12</t>
  </si>
  <si>
    <t xml:space="preserve">к муниципальной программе </t>
  </si>
  <si>
    <t xml:space="preserve">«Формирование современной городской </t>
  </si>
  <si>
    <t xml:space="preserve">среды Артемовского городского округа» </t>
  </si>
  <si>
    <t>МЕРОПРИЯТИЯ ПРОГРАММЫ НА 2023-2030 гг.</t>
  </si>
  <si>
    <t xml:space="preserve">Наименование комплекса процессных мероприятий; наименование мероприятия
</t>
  </si>
  <si>
    <t xml:space="preserve">Исполнители мероприятий
</t>
  </si>
  <si>
    <t xml:space="preserve">Сроки реализации мероприятий
</t>
  </si>
  <si>
    <t xml:space="preserve">  изм. 48</t>
  </si>
  <si>
    <t xml:space="preserve">в том числе по годам
</t>
  </si>
  <si>
    <t>Благоустройство территорий в рамках реализации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(реализация проекта "1000 дворов" )</t>
  </si>
  <si>
    <t xml:space="preserve">Итого по Программе, в том числе по источникам
</t>
  </si>
  <si>
    <t>изм. 48</t>
  </si>
  <si>
    <t>Примечание:</t>
  </si>
  <si>
    <t>УСКР – муниципальное казенное учреждение «Управление строительства и капитального ремонта г. Артема».</t>
  </si>
  <si>
    <t>УБ – муниципальное казенное учреждение «Управление благоустройства» города Артема.</t>
  </si>
  <si>
    <t>УДДБ – управление дорожной деятельности и благоустройства администрации Артемовского городского округа.</t>
  </si>
  <si>
    <t>УЖО – управление жизнеобеспечения администрации Артемовского городского округа.</t>
  </si>
  <si>
    <r>
      <rPr>
        <sz val="14"/>
        <color theme="1"/>
        <rFont val="Times New Roman"/>
        <charset val="134"/>
      </rPr>
      <t>МБУ «АиГ» – муниципальное бюджетное учреждение «Архитектура и градостроительство Артемовского городского округа</t>
    </r>
    <r>
      <rPr>
        <sz val="14"/>
        <color theme="1"/>
        <rFont val="Arial"/>
        <charset val="134"/>
      </rPr>
      <t>».</t>
    </r>
  </si>
  <si>
    <t>ФБ – федеральный бюджет.</t>
  </si>
  <si>
    <t>2027-2030</t>
  </si>
  <si>
    <t>КБ – краевой бюджет.</t>
  </si>
  <si>
    <t xml:space="preserve">МБ (С) – местный бюджет (софинансирование). </t>
  </si>
  <si>
    <t>МБ – местный бюджет.</t>
  </si>
  <si>
    <t xml:space="preserve">Приложение </t>
  </si>
  <si>
    <t xml:space="preserve">  изм. 51 бюджем МО</t>
  </si>
  <si>
    <t xml:space="preserve">Благоустройство общественных территорий согласно приложению 6                                    (768 0503 201И455550 521) </t>
  </si>
  <si>
    <t>1.1.3.</t>
  </si>
  <si>
    <t>Благоустройство рекреационной зоны русла реки Озерные Ключи согласно приложению 6</t>
  </si>
  <si>
    <t>2025-2027</t>
  </si>
  <si>
    <t>возврат в бюджет</t>
  </si>
  <si>
    <t>перенос на Бабушкина</t>
  </si>
  <si>
    <t>изм. 57</t>
  </si>
  <si>
    <t>МБ всего</t>
  </si>
  <si>
    <t>Приложение 3</t>
  </si>
  <si>
    <t xml:space="preserve">Благоустройство общественных территорий согласно приложению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(768 0503 201И455550 521) </t>
  </si>
  <si>
    <t>перераспределена 1.1.3</t>
  </si>
  <si>
    <t>Благоустройство территорий Артемовского городского округа в рамках реализации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(реализация проекта "1000 дворов" )</t>
  </si>
  <si>
    <t>Благоустройство территорий Артемовского городского округа в рамках реализации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(Благоустройство дальневосточных дворов)</t>
  </si>
  <si>
    <t>добавление из бюджета ПК</t>
  </si>
  <si>
    <t>перемещение на 2.1.3 МБ+МБС</t>
  </si>
  <si>
    <t>возврат в бюджет ПК</t>
  </si>
  <si>
    <t>перемещение на 1.1.3</t>
  </si>
  <si>
    <t>изм. 56</t>
  </si>
  <si>
    <t>изм. 55</t>
  </si>
  <si>
    <t>изм. 54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</si>
</sst>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_ ;[Red]\-#\ ##0.00\ "/>
    <numFmt numFmtId="181" formatCode="#\ ##0.00"/>
    <numFmt numFmtId="182" formatCode="0_ "/>
    <numFmt numFmtId="183" formatCode="#\ ##0.00\ [$₽-419]"/>
  </numFmts>
  <fonts count="40">
    <font>
      <sz val="11"/>
      <color theme="1"/>
      <name val="Calibri"/>
      <charset val="134"/>
      <scheme val="minor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4"/>
      <name val="Times New Roman"/>
      <charset val="134"/>
    </font>
    <font>
      <b/>
      <sz val="14"/>
      <color theme="1"/>
      <name val="Times New Roman"/>
      <charset val="134"/>
    </font>
    <font>
      <b/>
      <sz val="12"/>
      <name val="Times New Roman"/>
      <charset val="134"/>
    </font>
    <font>
      <b/>
      <sz val="10"/>
      <name val="Times New Roman"/>
      <charset val="134"/>
    </font>
    <font>
      <b/>
      <sz val="11"/>
      <name val="Times New Roman"/>
      <charset val="134"/>
    </font>
    <font>
      <sz val="12"/>
      <name val="Times New Roman"/>
      <charset val="134"/>
    </font>
    <font>
      <sz val="10"/>
      <name val="Times New Roman"/>
      <charset val="134"/>
    </font>
    <font>
      <sz val="14"/>
      <color theme="1"/>
      <name val="Times New Roman"/>
      <charset val="134"/>
    </font>
    <font>
      <b/>
      <sz val="10"/>
      <color theme="1"/>
      <name val="Times New Roman"/>
      <charset val="134"/>
    </font>
    <font>
      <sz val="14"/>
      <name val="Times New Roman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b/>
      <sz val="11"/>
      <color indexed="2"/>
      <name val="Times New Roman"/>
      <charset val="134"/>
    </font>
    <font>
      <b/>
      <sz val="12"/>
      <color indexed="2"/>
      <name val="Times New Roman"/>
      <charset val="134"/>
    </font>
    <font>
      <sz val="12"/>
      <color indexed="2"/>
      <name val="Times New Roman"/>
      <charset val="134"/>
    </font>
    <font>
      <sz val="10"/>
      <color theme="1"/>
      <name val="Times New Roman"/>
      <charset val="134"/>
    </font>
    <font>
      <b/>
      <sz val="16"/>
      <color theme="1"/>
      <name val="Times New Roman"/>
      <charset val="134"/>
    </font>
    <font>
      <u/>
      <sz val="11"/>
      <color indexed="4"/>
      <name val="Calibri"/>
      <charset val="134"/>
      <scheme val="minor"/>
    </font>
    <font>
      <u/>
      <sz val="11"/>
      <color indexed="20"/>
      <name val="Calibri"/>
      <charset val="134"/>
      <scheme val="minor"/>
    </font>
    <font>
      <sz val="11"/>
      <color indexed="2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indexed="65"/>
      <name val="Calibri"/>
      <charset val="134"/>
      <scheme val="minor"/>
    </font>
    <font>
      <sz val="11"/>
      <color rgb="FFFA7D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0006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theme="0"/>
      <name val="Calibri"/>
      <charset val="134"/>
      <scheme val="minor"/>
    </font>
    <font>
      <sz val="14"/>
      <color theme="1"/>
      <name val="Arial"/>
      <charset val="134"/>
    </font>
  </fonts>
  <fills count="4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9" tint="0.399975585192419"/>
        <bgColor theme="9" tint="0.399975585192419"/>
      </patternFill>
    </fill>
    <fill>
      <patternFill patternType="solid">
        <fgColor rgb="FF92D050"/>
        <bgColor rgb="FF92D050"/>
      </patternFill>
    </fill>
    <fill>
      <patternFill patternType="solid">
        <fgColor rgb="FFFFE285"/>
        <bgColor rgb="FFFFE285"/>
      </patternFill>
    </fill>
    <fill>
      <patternFill patternType="solid">
        <fgColor theme="0"/>
        <bgColor rgb="FF92D050"/>
      </patternFill>
    </fill>
    <fill>
      <patternFill patternType="solid">
        <fgColor indexed="5"/>
        <bgColor indexed="5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5" tint="0.799981688894314"/>
        <bgColor theme="5" tint="0.799981688894314"/>
      </patternFill>
    </fill>
    <fill>
      <patternFill patternType="solid">
        <fgColor rgb="FFEECFCE"/>
        <bgColor rgb="FFEECFCE"/>
      </patternFill>
    </fill>
    <fill>
      <patternFill patternType="solid">
        <fgColor theme="7" tint="0.799981688894314"/>
        <bgColor theme="7" tint="0.799981688894314"/>
      </patternFill>
    </fill>
    <fill>
      <patternFill patternType="solid">
        <fgColor theme="8" tint="0.799981688894314"/>
        <bgColor theme="8" tint="0.799981688894314"/>
      </patternFill>
    </fill>
    <fill>
      <patternFill patternType="solid">
        <fgColor rgb="FFCAE6EE"/>
        <bgColor rgb="FFCAE6EE"/>
      </patternFill>
    </fill>
    <fill>
      <patternFill patternType="solid">
        <fgColor rgb="FFDBE7C3"/>
        <bgColor rgb="FFDBE7C3"/>
      </patternFill>
    </fill>
    <fill>
      <patternFill patternType="solid">
        <fgColor rgb="FFF2DBDA"/>
        <bgColor rgb="FFF2DBDA"/>
      </patternFill>
    </fill>
    <fill>
      <patternFill patternType="solid">
        <fgColor rgb="FFECF2DE"/>
        <bgColor rgb="FFECF2DE"/>
      </patternFill>
    </fill>
    <fill>
      <patternFill patternType="solid">
        <fgColor theme="6" tint="0.799981688894314"/>
        <bgColor theme="6" tint="0.799981688894314"/>
      </patternFill>
    </fill>
    <fill>
      <patternFill patternType="solid">
        <fgColor theme="8" tint="0.599993896298105"/>
        <bgColor theme="8" tint="0.599993896298105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theme="4"/>
        <bgColor theme="4"/>
      </patternFill>
    </fill>
    <fill>
      <patternFill patternType="solid">
        <fgColor theme="4" tint="0.599993896298105"/>
        <bgColor theme="4" tint="0.599993896298105"/>
      </patternFill>
    </fill>
    <fill>
      <patternFill patternType="solid">
        <fgColor theme="4" tint="0.399975585192419"/>
        <bgColor theme="4" tint="0.399975585192419"/>
      </patternFill>
    </fill>
    <fill>
      <patternFill patternType="solid">
        <fgColor theme="5"/>
        <bgColor theme="5"/>
      </patternFill>
    </fill>
    <fill>
      <patternFill patternType="solid">
        <fgColor theme="5" tint="0.599993896298105"/>
        <bgColor theme="5" tint="0.599993896298105"/>
      </patternFill>
    </fill>
    <fill>
      <patternFill patternType="solid">
        <fgColor theme="5" tint="0.399975585192419"/>
        <bgColor theme="5" tint="0.399975585192419"/>
      </patternFill>
    </fill>
    <fill>
      <patternFill patternType="solid">
        <fgColor theme="6"/>
        <bgColor theme="6"/>
      </patternFill>
    </fill>
    <fill>
      <patternFill patternType="solid">
        <fgColor theme="6" tint="0.599993896298105"/>
        <bgColor theme="6" tint="0.599993896298105"/>
      </patternFill>
    </fill>
    <fill>
      <patternFill patternType="solid">
        <fgColor theme="6" tint="0.399975585192419"/>
        <bgColor theme="6" tint="0.399975585192419"/>
      </patternFill>
    </fill>
    <fill>
      <patternFill patternType="solid">
        <fgColor theme="7"/>
        <bgColor theme="7"/>
      </patternFill>
    </fill>
    <fill>
      <patternFill patternType="solid">
        <fgColor theme="7" tint="0.599993896298105"/>
        <bgColor theme="7" tint="0.599993896298105"/>
      </patternFill>
    </fill>
    <fill>
      <patternFill patternType="solid">
        <fgColor theme="7" tint="0.399975585192419"/>
        <bgColor theme="7" tint="0.399975585192419"/>
      </patternFill>
    </fill>
    <fill>
      <patternFill patternType="solid">
        <fgColor theme="8"/>
        <bgColor theme="8"/>
      </patternFill>
    </fill>
    <fill>
      <patternFill patternType="solid">
        <fgColor theme="8" tint="0.399975585192419"/>
        <bgColor theme="8" tint="0.399975585192419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"/>
        <bgColor theme="9" tint="0.799981688894314"/>
      </patternFill>
    </fill>
    <fill>
      <patternFill patternType="solid">
        <fgColor theme="9" tint="0.599993896298105"/>
        <bgColor theme="9" tint="0.599993896298105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Protection="0">
      <alignment vertical="center"/>
    </xf>
    <xf numFmtId="177" fontId="0" fillId="0" borderId="0" applyFont="0" applyFill="0" applyBorder="0" applyProtection="0">
      <alignment vertical="center"/>
    </xf>
    <xf numFmtId="9" fontId="0" fillId="0" borderId="0" applyFont="0" applyFill="0" applyBorder="0" applyProtection="0">
      <alignment vertical="center"/>
    </xf>
    <xf numFmtId="178" fontId="0" fillId="0" borderId="0" applyFont="0" applyFill="0" applyBorder="0" applyProtection="0">
      <alignment vertical="center"/>
    </xf>
    <xf numFmtId="179" fontId="0" fillId="0" borderId="0" applyFont="0" applyFill="0" applyBorder="0" applyProtection="0">
      <alignment vertical="center"/>
    </xf>
    <xf numFmtId="0" fontId="21" fillId="0" borderId="0" applyNumberFormat="0" applyFill="0" applyBorder="0" applyProtection="0">
      <alignment vertical="center"/>
    </xf>
    <xf numFmtId="0" fontId="22" fillId="0" borderId="0" applyNumberFormat="0" applyFill="0" applyBorder="0" applyProtection="0">
      <alignment vertical="center"/>
    </xf>
    <xf numFmtId="0" fontId="0" fillId="19" borderId="28" applyNumberFormat="0" applyFont="0" applyProtection="0">
      <alignment vertical="center"/>
    </xf>
    <xf numFmtId="0" fontId="23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5" fillId="0" borderId="0" applyNumberFormat="0" applyFill="0" applyBorder="0" applyProtection="0">
      <alignment vertical="center"/>
    </xf>
    <xf numFmtId="0" fontId="26" fillId="0" borderId="29" applyNumberFormat="0" applyFill="0" applyProtection="0">
      <alignment vertical="center"/>
    </xf>
    <xf numFmtId="0" fontId="27" fillId="0" borderId="29" applyNumberFormat="0" applyFill="0" applyProtection="0">
      <alignment vertical="center"/>
    </xf>
    <xf numFmtId="0" fontId="28" fillId="0" borderId="30" applyNumberFormat="0" applyFill="0" applyProtection="0">
      <alignment vertical="center"/>
    </xf>
    <xf numFmtId="0" fontId="28" fillId="0" borderId="0" applyNumberFormat="0" applyFill="0" applyBorder="0" applyProtection="0">
      <alignment vertical="center"/>
    </xf>
    <xf numFmtId="0" fontId="29" fillId="20" borderId="31" applyNumberFormat="0" applyProtection="0">
      <alignment vertical="center"/>
    </xf>
    <xf numFmtId="0" fontId="30" fillId="21" borderId="32" applyNumberFormat="0" applyProtection="0">
      <alignment vertical="center"/>
    </xf>
    <xf numFmtId="0" fontId="31" fillId="21" borderId="31" applyNumberFormat="0" applyProtection="0">
      <alignment vertical="center"/>
    </xf>
    <xf numFmtId="0" fontId="32" fillId="22" borderId="33" applyNumberFormat="0" applyProtection="0">
      <alignment vertical="center"/>
    </xf>
    <xf numFmtId="0" fontId="33" fillId="0" borderId="34" applyNumberFormat="0" applyFill="0" applyProtection="0">
      <alignment vertical="center"/>
    </xf>
    <xf numFmtId="0" fontId="34" fillId="0" borderId="35" applyNumberFormat="0" applyFill="0" applyProtection="0">
      <alignment vertical="center"/>
    </xf>
    <xf numFmtId="0" fontId="35" fillId="23" borderId="0" applyNumberFormat="0" applyBorder="0" applyProtection="0">
      <alignment vertical="center"/>
    </xf>
    <xf numFmtId="0" fontId="36" fillId="24" borderId="0" applyNumberFormat="0" applyBorder="0" applyProtection="0">
      <alignment vertical="center"/>
    </xf>
    <xf numFmtId="0" fontId="37" fillId="25" borderId="0" applyNumberFormat="0" applyBorder="0" applyProtection="0">
      <alignment vertical="center"/>
    </xf>
    <xf numFmtId="0" fontId="38" fillId="26" borderId="0" applyNumberFormat="0" applyBorder="0" applyProtection="0">
      <alignment vertical="center"/>
    </xf>
    <xf numFmtId="0" fontId="0" fillId="8" borderId="0" applyNumberFormat="0" applyBorder="0" applyProtection="0">
      <alignment vertical="center"/>
    </xf>
    <xf numFmtId="0" fontId="0" fillId="27" borderId="0" applyNumberFormat="0" applyBorder="0" applyProtection="0">
      <alignment vertical="center"/>
    </xf>
    <xf numFmtId="0" fontId="38" fillId="28" borderId="0" applyNumberFormat="0" applyBorder="0" applyProtection="0">
      <alignment vertical="center"/>
    </xf>
    <xf numFmtId="0" fontId="38" fillId="29" borderId="0" applyNumberFormat="0" applyBorder="0" applyProtection="0">
      <alignment vertical="center"/>
    </xf>
    <xf numFmtId="0" fontId="0" fillId="9" borderId="0" applyNumberFormat="0" applyBorder="0" applyProtection="0">
      <alignment vertical="center"/>
    </xf>
    <xf numFmtId="0" fontId="0" fillId="30" borderId="0" applyNumberFormat="0" applyBorder="0" applyProtection="0">
      <alignment vertical="center"/>
    </xf>
    <xf numFmtId="0" fontId="38" fillId="31" borderId="0" applyNumberFormat="0" applyBorder="0" applyProtection="0">
      <alignment vertical="center"/>
    </xf>
    <xf numFmtId="0" fontId="38" fillId="32" borderId="0" applyNumberFormat="0" applyBorder="0" applyProtection="0">
      <alignment vertical="center"/>
    </xf>
    <xf numFmtId="0" fontId="0" fillId="17" borderId="0" applyNumberFormat="0" applyBorder="0" applyProtection="0">
      <alignment vertical="center"/>
    </xf>
    <xf numFmtId="0" fontId="0" fillId="33" borderId="0" applyNumberFormat="0" applyBorder="0" applyProtection="0">
      <alignment vertical="center"/>
    </xf>
    <xf numFmtId="0" fontId="38" fillId="34" borderId="0" applyNumberFormat="0" applyBorder="0" applyProtection="0">
      <alignment vertical="center"/>
    </xf>
    <xf numFmtId="0" fontId="38" fillId="35" borderId="0" applyNumberFormat="0" applyBorder="0" applyProtection="0">
      <alignment vertical="center"/>
    </xf>
    <xf numFmtId="0" fontId="0" fillId="11" borderId="0" applyNumberFormat="0" applyBorder="0" applyProtection="0">
      <alignment vertical="center"/>
    </xf>
    <xf numFmtId="0" fontId="0" fillId="36" borderId="0" applyNumberFormat="0" applyBorder="0" applyProtection="0">
      <alignment vertical="center"/>
    </xf>
    <xf numFmtId="0" fontId="38" fillId="37" borderId="0" applyNumberFormat="0" applyBorder="0" applyProtection="0">
      <alignment vertical="center"/>
    </xf>
    <xf numFmtId="0" fontId="38" fillId="38" borderId="0" applyNumberFormat="0" applyBorder="0" applyProtection="0">
      <alignment vertical="center"/>
    </xf>
    <xf numFmtId="0" fontId="0" fillId="12" borderId="0" applyNumberFormat="0" applyBorder="0" applyProtection="0">
      <alignment vertical="center"/>
    </xf>
    <xf numFmtId="0" fontId="0" fillId="18" borderId="0" applyNumberFormat="0" applyBorder="0" applyProtection="0">
      <alignment vertical="center"/>
    </xf>
    <xf numFmtId="0" fontId="38" fillId="39" borderId="0" applyNumberFormat="0" applyBorder="0" applyProtection="0">
      <alignment vertical="center"/>
    </xf>
    <xf numFmtId="0" fontId="38" fillId="40" borderId="0" applyNumberFormat="0" applyBorder="0" applyProtection="0">
      <alignment vertical="center"/>
    </xf>
    <xf numFmtId="0" fontId="0" fillId="41" borderId="0" applyNumberFormat="0" applyBorder="0" applyProtection="0">
      <alignment vertical="center"/>
    </xf>
    <xf numFmtId="0" fontId="0" fillId="42" borderId="0" applyNumberFormat="0" applyBorder="0" applyProtection="0">
      <alignment vertical="center"/>
    </xf>
    <xf numFmtId="0" fontId="38" fillId="3" borderId="0" applyNumberFormat="0" applyBorder="0" applyProtection="0">
      <alignment vertical="center"/>
    </xf>
    <xf numFmtId="0" fontId="0" fillId="0" borderId="0"/>
  </cellStyleXfs>
  <cellXfs count="567">
    <xf numFmtId="0" fontId="0" fillId="0" borderId="0" xfId="0"/>
    <xf numFmtId="180" fontId="1" fillId="0" borderId="0" xfId="0" applyNumberFormat="1" applyFont="1" applyAlignment="1">
      <alignment vertical="top"/>
    </xf>
    <xf numFmtId="181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180" fontId="2" fillId="0" borderId="0" xfId="0" applyNumberFormat="1" applyFont="1" applyAlignment="1">
      <alignment horizontal="left" vertical="top"/>
    </xf>
    <xf numFmtId="0" fontId="2" fillId="2" borderId="0" xfId="0" applyFont="1" applyFill="1" applyAlignment="1">
      <alignment vertical="top"/>
    </xf>
    <xf numFmtId="0" fontId="2" fillId="0" borderId="0" xfId="0" applyFont="1" applyAlignment="1">
      <alignment vertical="top"/>
    </xf>
    <xf numFmtId="181" fontId="4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181" fontId="5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81" fontId="3" fillId="0" borderId="1" xfId="0" applyNumberFormat="1" applyFont="1" applyBorder="1" applyAlignment="1">
      <alignment horizontal="center" vertical="top"/>
    </xf>
    <xf numFmtId="181" fontId="3" fillId="0" borderId="1" xfId="0" applyNumberFormat="1" applyFont="1" applyBorder="1" applyAlignment="1">
      <alignment horizontal="center" vertical="top" wrapText="1"/>
    </xf>
    <xf numFmtId="181" fontId="8" fillId="0" borderId="1" xfId="0" applyNumberFormat="1" applyFont="1" applyBorder="1" applyAlignment="1">
      <alignment horizontal="left" vertical="top" wrapText="1"/>
    </xf>
    <xf numFmtId="182" fontId="4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9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181" fontId="4" fillId="3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181" fontId="8" fillId="0" borderId="1" xfId="0" applyNumberFormat="1" applyFont="1" applyBorder="1" applyAlignment="1">
      <alignment horizontal="left" vertical="top"/>
    </xf>
    <xf numFmtId="181" fontId="6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181" fontId="9" fillId="0" borderId="1" xfId="0" applyNumberFormat="1" applyFont="1" applyBorder="1" applyAlignment="1">
      <alignment horizontal="left" vertical="top"/>
    </xf>
    <xf numFmtId="181" fontId="9" fillId="0" borderId="0" xfId="0" applyNumberFormat="1" applyFont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181" fontId="4" fillId="0" borderId="1" xfId="0" applyNumberFormat="1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81" fontId="8" fillId="4" borderId="1" xfId="0" applyNumberFormat="1" applyFont="1" applyFill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181" fontId="6" fillId="4" borderId="1" xfId="0" applyNumberFormat="1" applyFont="1" applyFill="1" applyBorder="1" applyAlignment="1">
      <alignment horizontal="left" vertical="top"/>
    </xf>
    <xf numFmtId="181" fontId="9" fillId="4" borderId="1" xfId="0" applyNumberFormat="1" applyFont="1" applyFill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181" fontId="11" fillId="0" borderId="5" xfId="0" applyNumberFormat="1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3" fillId="0" borderId="0" xfId="0" applyFont="1" applyAlignment="1">
      <alignment vertical="top"/>
    </xf>
    <xf numFmtId="181" fontId="11" fillId="0" borderId="0" xfId="0" applyNumberFormat="1" applyFont="1" applyAlignment="1">
      <alignment vertical="center"/>
    </xf>
    <xf numFmtId="181" fontId="11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180" fontId="2" fillId="0" borderId="0" xfId="0" applyNumberFormat="1" applyFont="1" applyAlignment="1">
      <alignment horizontal="left"/>
    </xf>
    <xf numFmtId="0" fontId="11" fillId="0" borderId="0" xfId="0" applyFont="1"/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center" wrapText="1"/>
    </xf>
    <xf numFmtId="180" fontId="13" fillId="5" borderId="2" xfId="0" applyNumberFormat="1" applyFont="1" applyFill="1" applyBorder="1" applyAlignment="1">
      <alignment horizontal="left" vertical="center" wrapText="1"/>
    </xf>
    <xf numFmtId="180" fontId="13" fillId="5" borderId="3" xfId="0" applyNumberFormat="1" applyFont="1" applyFill="1" applyBorder="1" applyAlignment="1">
      <alignment horizontal="left" vertical="center" wrapText="1"/>
    </xf>
    <xf numFmtId="180" fontId="13" fillId="5" borderId="4" xfId="0" applyNumberFormat="1" applyFont="1" applyFill="1" applyBorder="1" applyAlignment="1">
      <alignment horizontal="left" vertical="center" wrapText="1"/>
    </xf>
    <xf numFmtId="180" fontId="2" fillId="0" borderId="1" xfId="0" applyNumberFormat="1" applyFont="1" applyBorder="1" applyAlignment="1">
      <alignment horizontal="left" vertical="top"/>
    </xf>
    <xf numFmtId="180" fontId="4" fillId="3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180" fontId="8" fillId="0" borderId="1" xfId="0" applyNumberFormat="1" applyFont="1" applyBorder="1" applyAlignment="1">
      <alignment vertical="top" wrapText="1"/>
    </xf>
    <xf numFmtId="180" fontId="6" fillId="0" borderId="1" xfId="0" applyNumberFormat="1" applyFont="1" applyBorder="1" applyAlignment="1">
      <alignment horizontal="left" vertical="top"/>
    </xf>
    <xf numFmtId="181" fontId="1" fillId="0" borderId="1" xfId="0" applyNumberFormat="1" applyFont="1" applyBorder="1" applyAlignment="1">
      <alignment horizontal="left" vertical="top"/>
    </xf>
    <xf numFmtId="180" fontId="1" fillId="0" borderId="1" xfId="0" applyNumberFormat="1" applyFont="1" applyBorder="1" applyAlignment="1">
      <alignment horizontal="left" vertical="top"/>
    </xf>
    <xf numFmtId="180" fontId="9" fillId="0" borderId="1" xfId="0" applyNumberFormat="1" applyFont="1" applyBorder="1" applyAlignment="1">
      <alignment horizontal="left" vertical="top"/>
    </xf>
    <xf numFmtId="180" fontId="4" fillId="0" borderId="1" xfId="0" applyNumberFormat="1" applyFont="1" applyBorder="1" applyAlignment="1">
      <alignment horizontal="left" vertical="top"/>
    </xf>
    <xf numFmtId="180" fontId="8" fillId="0" borderId="1" xfId="0" applyNumberFormat="1" applyFont="1" applyBorder="1" applyAlignment="1">
      <alignment horizontal="left" vertical="top"/>
    </xf>
    <xf numFmtId="0" fontId="8" fillId="0" borderId="1" xfId="0" applyFont="1" applyBorder="1" applyAlignment="1">
      <alignment vertical="top" wrapText="1"/>
    </xf>
    <xf numFmtId="181" fontId="8" fillId="0" borderId="1" xfId="0" applyNumberFormat="1" applyFont="1" applyBorder="1" applyAlignment="1">
      <alignment vertical="top" wrapText="1"/>
    </xf>
    <xf numFmtId="180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2" fillId="2" borderId="0" xfId="0" applyFont="1" applyFill="1"/>
    <xf numFmtId="180" fontId="1" fillId="2" borderId="0" xfId="0" applyNumberFormat="1" applyFont="1" applyFill="1" applyAlignment="1">
      <alignment vertical="top"/>
    </xf>
    <xf numFmtId="0" fontId="4" fillId="0" borderId="1" xfId="0" applyFont="1" applyBorder="1" applyAlignment="1">
      <alignment horizontal="left" vertical="top" wrapText="1"/>
    </xf>
    <xf numFmtId="181" fontId="6" fillId="4" borderId="1" xfId="0" applyNumberFormat="1" applyFont="1" applyFill="1" applyBorder="1" applyAlignment="1">
      <alignment horizontal="left" vertical="top" wrapText="1"/>
    </xf>
    <xf numFmtId="181" fontId="6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81" fontId="1" fillId="0" borderId="0" xfId="0" applyNumberFormat="1" applyFont="1" applyAlignment="1">
      <alignment horizontal="left"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top" wrapText="1"/>
    </xf>
    <xf numFmtId="181" fontId="11" fillId="0" borderId="0" xfId="0" applyNumberFormat="1" applyFont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180" fontId="9" fillId="0" borderId="1" xfId="0" applyNumberFormat="1" applyFont="1" applyBorder="1" applyAlignment="1">
      <alignment horizontal="left" vertical="top" wrapText="1"/>
    </xf>
    <xf numFmtId="180" fontId="6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9" fillId="0" borderId="0" xfId="0" applyFont="1" applyAlignment="1">
      <alignment horizontal="left" vertical="top"/>
    </xf>
    <xf numFmtId="181" fontId="2" fillId="0" borderId="0" xfId="0" applyNumberFormat="1" applyFont="1" applyAlignment="1">
      <alignment vertical="top"/>
    </xf>
    <xf numFmtId="0" fontId="8" fillId="0" borderId="1" xfId="0" applyFont="1" applyBorder="1" applyAlignment="1">
      <alignment horizontal="center" vertical="top"/>
    </xf>
    <xf numFmtId="181" fontId="6" fillId="0" borderId="1" xfId="0" applyNumberFormat="1" applyFont="1" applyBorder="1" applyAlignment="1">
      <alignment horizontal="center" vertical="top"/>
    </xf>
    <xf numFmtId="181" fontId="1" fillId="0" borderId="0" xfId="0" applyNumberFormat="1" applyFont="1" applyAlignment="1">
      <alignment vertical="top"/>
    </xf>
    <xf numFmtId="180" fontId="1" fillId="0" borderId="0" xfId="0" applyNumberFormat="1" applyFont="1" applyAlignment="1">
      <alignment horizontal="left" vertical="top"/>
    </xf>
    <xf numFmtId="0" fontId="8" fillId="5" borderId="1" xfId="0" applyFont="1" applyFill="1" applyBorder="1" applyAlignment="1">
      <alignment horizontal="center" vertical="top"/>
    </xf>
    <xf numFmtId="181" fontId="6" fillId="5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5" borderId="1" xfId="0" applyFont="1" applyFill="1" applyBorder="1" applyAlignment="1">
      <alignment horizontal="left" vertical="top"/>
    </xf>
    <xf numFmtId="181" fontId="9" fillId="0" borderId="1" xfId="0" applyNumberFormat="1" applyFont="1" applyBorder="1" applyAlignment="1">
      <alignment horizontal="center" vertical="top"/>
    </xf>
    <xf numFmtId="181" fontId="9" fillId="0" borderId="2" xfId="0" applyNumberFormat="1" applyFont="1" applyBorder="1" applyAlignment="1">
      <alignment horizontal="center" vertical="top"/>
    </xf>
    <xf numFmtId="0" fontId="1" fillId="5" borderId="6" xfId="0" applyFont="1" applyFill="1" applyBorder="1" applyAlignment="1">
      <alignment horizontal="left" vertical="top"/>
    </xf>
    <xf numFmtId="181" fontId="6" fillId="0" borderId="7" xfId="0" applyNumberFormat="1" applyFont="1" applyBorder="1" applyAlignment="1">
      <alignment horizontal="center" vertical="top"/>
    </xf>
    <xf numFmtId="181" fontId="6" fillId="0" borderId="8" xfId="0" applyNumberFormat="1" applyFont="1" applyBorder="1" applyAlignment="1">
      <alignment horizontal="center" vertical="top"/>
    </xf>
    <xf numFmtId="181" fontId="9" fillId="0" borderId="9" xfId="0" applyNumberFormat="1" applyFont="1" applyBorder="1" applyAlignment="1">
      <alignment horizontal="center" vertical="top"/>
    </xf>
    <xf numFmtId="180" fontId="1" fillId="0" borderId="9" xfId="0" applyNumberFormat="1" applyFont="1" applyBorder="1" applyAlignment="1">
      <alignment horizontal="center" vertical="top"/>
    </xf>
    <xf numFmtId="181" fontId="6" fillId="0" borderId="4" xfId="0" applyNumberFormat="1" applyFont="1" applyBorder="1" applyAlignment="1">
      <alignment horizontal="center" vertical="top"/>
    </xf>
    <xf numFmtId="181" fontId="6" fillId="0" borderId="10" xfId="0" applyNumberFormat="1" applyFont="1" applyBorder="1" applyAlignment="1">
      <alignment horizontal="center" vertical="top"/>
    </xf>
    <xf numFmtId="181" fontId="6" fillId="0" borderId="0" xfId="0" applyNumberFormat="1" applyFont="1" applyAlignment="1">
      <alignment horizontal="center" vertical="top"/>
    </xf>
    <xf numFmtId="181" fontId="3" fillId="0" borderId="0" xfId="0" applyNumberFormat="1" applyFont="1" applyAlignment="1">
      <alignment horizontal="center" vertical="top"/>
    </xf>
    <xf numFmtId="183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left" vertical="top"/>
    </xf>
    <xf numFmtId="181" fontId="8" fillId="2" borderId="1" xfId="0" applyNumberFormat="1" applyFont="1" applyFill="1" applyBorder="1" applyAlignment="1">
      <alignment horizontal="left" vertical="top"/>
    </xf>
    <xf numFmtId="181" fontId="8" fillId="6" borderId="1" xfId="0" applyNumberFormat="1" applyFont="1" applyFill="1" applyBorder="1" applyAlignment="1">
      <alignment horizontal="left" vertical="top"/>
    </xf>
    <xf numFmtId="181" fontId="6" fillId="2" borderId="1" xfId="0" applyNumberFormat="1" applyFont="1" applyFill="1" applyBorder="1" applyAlignment="1">
      <alignment horizontal="left" vertical="top"/>
    </xf>
    <xf numFmtId="181" fontId="6" fillId="6" borderId="1" xfId="0" applyNumberFormat="1" applyFont="1" applyFill="1" applyBorder="1" applyAlignment="1">
      <alignment horizontal="left" vertical="top"/>
    </xf>
    <xf numFmtId="181" fontId="9" fillId="2" borderId="1" xfId="0" applyNumberFormat="1" applyFont="1" applyFill="1" applyBorder="1" applyAlignment="1">
      <alignment horizontal="left" vertical="top"/>
    </xf>
    <xf numFmtId="181" fontId="9" fillId="6" borderId="1" xfId="0" applyNumberFormat="1" applyFont="1" applyFill="1" applyBorder="1" applyAlignment="1">
      <alignment horizontal="left" vertical="top"/>
    </xf>
    <xf numFmtId="181" fontId="9" fillId="4" borderId="0" xfId="0" applyNumberFormat="1" applyFont="1" applyFill="1" applyAlignment="1">
      <alignment horizontal="left" vertical="top"/>
    </xf>
    <xf numFmtId="0" fontId="10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181" fontId="4" fillId="2" borderId="1" xfId="0" applyNumberFormat="1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180" fontId="8" fillId="2" borderId="1" xfId="0" applyNumberFormat="1" applyFont="1" applyFill="1" applyBorder="1" applyAlignment="1">
      <alignment vertical="top" wrapText="1"/>
    </xf>
    <xf numFmtId="180" fontId="9" fillId="2" borderId="1" xfId="0" applyNumberFormat="1" applyFont="1" applyFill="1" applyBorder="1" applyAlignment="1">
      <alignment horizontal="left" vertical="top"/>
    </xf>
    <xf numFmtId="180" fontId="1" fillId="2" borderId="1" xfId="0" applyNumberFormat="1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180" fontId="4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181" fontId="6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vertical="top" wrapText="1"/>
    </xf>
    <xf numFmtId="180" fontId="9" fillId="2" borderId="1" xfId="0" applyNumberFormat="1" applyFont="1" applyFill="1" applyBorder="1" applyAlignment="1">
      <alignment horizontal="left" vertical="top" wrapText="1"/>
    </xf>
    <xf numFmtId="180" fontId="6" fillId="2" borderId="1" xfId="0" applyNumberFormat="1" applyFont="1" applyFill="1" applyBorder="1" applyAlignment="1">
      <alignment horizontal="left" vertical="top" wrapText="1"/>
    </xf>
    <xf numFmtId="180" fontId="6" fillId="2" borderId="1" xfId="0" applyNumberFormat="1" applyFont="1" applyFill="1" applyBorder="1" applyAlignment="1">
      <alignment horizontal="left" vertical="top"/>
    </xf>
    <xf numFmtId="180" fontId="8" fillId="2" borderId="1" xfId="0" applyNumberFormat="1" applyFont="1" applyFill="1" applyBorder="1" applyAlignment="1">
      <alignment horizontal="left" vertical="top"/>
    </xf>
    <xf numFmtId="180" fontId="2" fillId="2" borderId="0" xfId="0" applyNumberFormat="1" applyFont="1" applyFill="1" applyAlignment="1">
      <alignment horizontal="left" vertical="top"/>
    </xf>
    <xf numFmtId="181" fontId="8" fillId="7" borderId="1" xfId="0" applyNumberFormat="1" applyFont="1" applyFill="1" applyBorder="1" applyAlignment="1">
      <alignment horizontal="left" vertical="top"/>
    </xf>
    <xf numFmtId="181" fontId="6" fillId="7" borderId="1" xfId="0" applyNumberFormat="1" applyFont="1" applyFill="1" applyBorder="1" applyAlignment="1">
      <alignment horizontal="left" vertical="top"/>
    </xf>
    <xf numFmtId="181" fontId="9" fillId="2" borderId="0" xfId="0" applyNumberFormat="1" applyFont="1" applyFill="1" applyAlignment="1">
      <alignment horizontal="left" vertical="top"/>
    </xf>
    <xf numFmtId="181" fontId="1" fillId="7" borderId="1" xfId="0" applyNumberFormat="1" applyFont="1" applyFill="1" applyBorder="1" applyAlignment="1">
      <alignment horizontal="left" vertical="top"/>
    </xf>
    <xf numFmtId="181" fontId="9" fillId="7" borderId="1" xfId="0" applyNumberFormat="1" applyFont="1" applyFill="1" applyBorder="1" applyAlignment="1">
      <alignment horizontal="left" vertical="top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81" fontId="9" fillId="7" borderId="0" xfId="0" applyNumberFormat="1" applyFont="1" applyFill="1" applyAlignment="1">
      <alignment horizontal="left" vertical="top"/>
    </xf>
    <xf numFmtId="180" fontId="1" fillId="0" borderId="1" xfId="0" applyNumberFormat="1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180" fontId="1" fillId="2" borderId="0" xfId="0" applyNumberFormat="1" applyFont="1" applyFill="1" applyAlignment="1">
      <alignment horizontal="left" vertical="top"/>
    </xf>
    <xf numFmtId="180" fontId="8" fillId="2" borderId="0" xfId="0" applyNumberFormat="1" applyFont="1" applyFill="1" applyAlignment="1">
      <alignment vertical="top"/>
    </xf>
    <xf numFmtId="180" fontId="8" fillId="2" borderId="9" xfId="0" applyNumberFormat="1" applyFont="1" applyFill="1" applyBorder="1" applyAlignment="1">
      <alignment horizontal="left" vertical="top"/>
    </xf>
    <xf numFmtId="180" fontId="1" fillId="2" borderId="11" xfId="0" applyNumberFormat="1" applyFont="1" applyFill="1" applyBorder="1" applyAlignment="1">
      <alignment horizontal="left" vertical="top"/>
    </xf>
    <xf numFmtId="180" fontId="1" fillId="2" borderId="9" xfId="0" applyNumberFormat="1" applyFont="1" applyFill="1" applyBorder="1" applyAlignment="1">
      <alignment horizontal="left" vertical="top"/>
    </xf>
    <xf numFmtId="180" fontId="1" fillId="2" borderId="12" xfId="0" applyNumberFormat="1" applyFont="1" applyFill="1" applyBorder="1" applyAlignment="1">
      <alignment horizontal="left" vertical="top"/>
    </xf>
    <xf numFmtId="180" fontId="2" fillId="2" borderId="11" xfId="0" applyNumberFormat="1" applyFont="1" applyFill="1" applyBorder="1" applyAlignment="1">
      <alignment horizontal="left" vertical="top"/>
    </xf>
    <xf numFmtId="180" fontId="2" fillId="2" borderId="9" xfId="0" applyNumberFormat="1" applyFont="1" applyFill="1" applyBorder="1" applyAlignment="1">
      <alignment horizontal="left" vertical="top"/>
    </xf>
    <xf numFmtId="180" fontId="6" fillId="2" borderId="9" xfId="0" applyNumberFormat="1" applyFont="1" applyFill="1" applyBorder="1" applyAlignment="1">
      <alignment horizontal="left" vertical="top"/>
    </xf>
    <xf numFmtId="180" fontId="2" fillId="2" borderId="12" xfId="0" applyNumberFormat="1" applyFont="1" applyFill="1" applyBorder="1" applyAlignment="1">
      <alignment horizontal="left" vertical="top"/>
    </xf>
    <xf numFmtId="181" fontId="14" fillId="2" borderId="1" xfId="0" applyNumberFormat="1" applyFont="1" applyFill="1" applyBorder="1" applyAlignment="1">
      <alignment horizontal="left" vertical="top"/>
    </xf>
    <xf numFmtId="181" fontId="15" fillId="2" borderId="1" xfId="0" applyNumberFormat="1" applyFont="1" applyFill="1" applyBorder="1" applyAlignment="1">
      <alignment horizontal="left" vertical="top"/>
    </xf>
    <xf numFmtId="181" fontId="14" fillId="7" borderId="1" xfId="0" applyNumberFormat="1" applyFont="1" applyFill="1" applyBorder="1" applyAlignment="1">
      <alignment horizontal="left" vertical="top"/>
    </xf>
    <xf numFmtId="181" fontId="15" fillId="7" borderId="1" xfId="0" applyNumberFormat="1" applyFont="1" applyFill="1" applyBorder="1" applyAlignment="1">
      <alignment horizontal="left" vertical="top"/>
    </xf>
    <xf numFmtId="181" fontId="14" fillId="7" borderId="1" xfId="0" applyNumberFormat="1" applyFont="1" applyFill="1" applyBorder="1" applyAlignment="1">
      <alignment horizontal="left" vertical="top" wrapText="1"/>
    </xf>
    <xf numFmtId="181" fontId="6" fillId="7" borderId="1" xfId="0" applyNumberFormat="1" applyFont="1" applyFill="1" applyBorder="1" applyAlignment="1">
      <alignment horizontal="left" vertical="top" wrapText="1"/>
    </xf>
    <xf numFmtId="181" fontId="3" fillId="7" borderId="1" xfId="0" applyNumberFormat="1" applyFont="1" applyFill="1" applyBorder="1" applyAlignment="1">
      <alignment horizontal="left" vertical="top"/>
    </xf>
    <xf numFmtId="180" fontId="6" fillId="7" borderId="9" xfId="0" applyNumberFormat="1" applyFont="1" applyFill="1" applyBorder="1" applyAlignment="1">
      <alignment horizontal="left" vertical="top"/>
    </xf>
    <xf numFmtId="180" fontId="9" fillId="7" borderId="9" xfId="0" applyNumberFormat="1" applyFont="1" applyFill="1" applyBorder="1" applyAlignment="1">
      <alignment horizontal="left" vertical="top"/>
    </xf>
    <xf numFmtId="180" fontId="8" fillId="7" borderId="9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181" fontId="8" fillId="0" borderId="1" xfId="0" applyNumberFormat="1" applyFont="1" applyFill="1" applyBorder="1" applyAlignment="1">
      <alignment horizontal="left" vertical="top"/>
    </xf>
    <xf numFmtId="181" fontId="6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181" fontId="9" fillId="0" borderId="1" xfId="0" applyNumberFormat="1" applyFont="1" applyFill="1" applyBorder="1" applyAlignment="1">
      <alignment horizontal="left" vertical="top"/>
    </xf>
    <xf numFmtId="181" fontId="9" fillId="0" borderId="0" xfId="0" applyNumberFormat="1" applyFont="1" applyFill="1" applyAlignment="1">
      <alignment horizontal="left" vertical="top"/>
    </xf>
    <xf numFmtId="181" fontId="1" fillId="0" borderId="1" xfId="0" applyNumberFormat="1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/>
    </xf>
    <xf numFmtId="181" fontId="4" fillId="0" borderId="1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/>
    </xf>
    <xf numFmtId="180" fontId="8" fillId="0" borderId="1" xfId="0" applyNumberFormat="1" applyFont="1" applyFill="1" applyBorder="1" applyAlignment="1">
      <alignment vertical="top" wrapText="1"/>
    </xf>
    <xf numFmtId="180" fontId="6" fillId="0" borderId="1" xfId="0" applyNumberFormat="1" applyFont="1" applyFill="1" applyBorder="1" applyAlignment="1">
      <alignment horizontal="left" vertical="top"/>
    </xf>
    <xf numFmtId="180" fontId="1" fillId="0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180" fontId="1" fillId="0" borderId="1" xfId="0" applyNumberFormat="1" applyFont="1" applyFill="1" applyBorder="1" applyAlignment="1">
      <alignment vertical="top" wrapText="1"/>
    </xf>
    <xf numFmtId="180" fontId="9" fillId="0" borderId="1" xfId="0" applyNumberFormat="1" applyFont="1" applyFill="1" applyBorder="1" applyAlignment="1">
      <alignment horizontal="left" vertical="top"/>
    </xf>
    <xf numFmtId="180" fontId="4" fillId="0" borderId="1" xfId="0" applyNumberFormat="1" applyFont="1" applyFill="1" applyBorder="1" applyAlignment="1">
      <alignment horizontal="left" vertical="top"/>
    </xf>
    <xf numFmtId="180" fontId="8" fillId="0" borderId="1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 wrapText="1"/>
    </xf>
    <xf numFmtId="181" fontId="8" fillId="0" borderId="1" xfId="0" applyNumberFormat="1" applyFont="1" applyFill="1" applyBorder="1" applyAlignment="1">
      <alignment vertical="top" wrapText="1"/>
    </xf>
    <xf numFmtId="180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181" fontId="14" fillId="0" borderId="1" xfId="0" applyNumberFormat="1" applyFont="1" applyFill="1" applyBorder="1" applyAlignment="1">
      <alignment horizontal="left" vertical="top"/>
    </xf>
    <xf numFmtId="181" fontId="15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181" fontId="14" fillId="0" borderId="1" xfId="0" applyNumberFormat="1" applyFont="1" applyFill="1" applyBorder="1" applyAlignment="1">
      <alignment horizontal="left" vertical="top" wrapText="1"/>
    </xf>
    <xf numFmtId="181" fontId="6" fillId="0" borderId="1" xfId="0" applyNumberFormat="1" applyFont="1" applyFill="1" applyBorder="1" applyAlignment="1">
      <alignment horizontal="left" vertical="top" wrapText="1"/>
    </xf>
    <xf numFmtId="181" fontId="3" fillId="0" borderId="1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center" vertical="top"/>
    </xf>
    <xf numFmtId="180" fontId="9" fillId="0" borderId="1" xfId="0" applyNumberFormat="1" applyFont="1" applyFill="1" applyBorder="1" applyAlignment="1">
      <alignment horizontal="left" vertical="top" wrapText="1"/>
    </xf>
    <xf numFmtId="180" fontId="6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180" fontId="9" fillId="2" borderId="9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6" fillId="8" borderId="1" xfId="0" applyFont="1" applyFill="1" applyBorder="1" applyAlignment="1">
      <alignment horizontal="center" vertical="top"/>
    </xf>
    <xf numFmtId="0" fontId="7" fillId="8" borderId="1" xfId="0" applyFont="1" applyFill="1" applyBorder="1" applyAlignment="1">
      <alignment horizontal="left" vertical="top" wrapText="1"/>
    </xf>
    <xf numFmtId="0" fontId="7" fillId="8" borderId="1" xfId="0" applyFont="1" applyFill="1" applyBorder="1" applyAlignment="1">
      <alignment horizontal="center" vertical="top" wrapText="1"/>
    </xf>
    <xf numFmtId="181" fontId="16" fillId="8" borderId="1" xfId="0" applyNumberFormat="1" applyFont="1" applyFill="1" applyBorder="1" applyAlignment="1">
      <alignment horizontal="left" vertical="top"/>
    </xf>
    <xf numFmtId="181" fontId="6" fillId="8" borderId="1" xfId="0" applyNumberFormat="1" applyFont="1" applyFill="1" applyBorder="1" applyAlignment="1">
      <alignment horizontal="left" vertical="top"/>
    </xf>
    <xf numFmtId="181" fontId="17" fillId="8" borderId="1" xfId="0" applyNumberFormat="1" applyFont="1" applyFill="1" applyBorder="1" applyAlignment="1">
      <alignment horizontal="left" vertical="top"/>
    </xf>
    <xf numFmtId="181" fontId="8" fillId="8" borderId="1" xfId="0" applyNumberFormat="1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top"/>
    </xf>
    <xf numFmtId="181" fontId="16" fillId="9" borderId="1" xfId="0" applyNumberFormat="1" applyFont="1" applyFill="1" applyBorder="1" applyAlignment="1">
      <alignment horizontal="left" vertical="top"/>
    </xf>
    <xf numFmtId="181" fontId="6" fillId="9" borderId="1" xfId="0" applyNumberFormat="1" applyFont="1" applyFill="1" applyBorder="1" applyAlignment="1">
      <alignment horizontal="left" vertical="top"/>
    </xf>
    <xf numFmtId="181" fontId="17" fillId="9" borderId="1" xfId="0" applyNumberFormat="1" applyFont="1" applyFill="1" applyBorder="1" applyAlignment="1">
      <alignment horizontal="left" vertical="top"/>
    </xf>
    <xf numFmtId="181" fontId="1" fillId="2" borderId="1" xfId="0" applyNumberFormat="1" applyFont="1" applyFill="1" applyBorder="1" applyAlignment="1">
      <alignment horizontal="left" vertical="top"/>
    </xf>
    <xf numFmtId="181" fontId="16" fillId="2" borderId="1" xfId="0" applyNumberFormat="1" applyFont="1" applyFill="1" applyBorder="1" applyAlignment="1">
      <alignment horizontal="left" vertical="top"/>
    </xf>
    <xf numFmtId="181" fontId="18" fillId="2" borderId="1" xfId="0" applyNumberFormat="1" applyFont="1" applyFill="1" applyBorder="1" applyAlignment="1">
      <alignment horizontal="left" vertical="top"/>
    </xf>
    <xf numFmtId="181" fontId="9" fillId="9" borderId="1" xfId="0" applyNumberFormat="1" applyFont="1" applyFill="1" applyBorder="1" applyAlignment="1">
      <alignment horizontal="left" vertical="top"/>
    </xf>
    <xf numFmtId="181" fontId="18" fillId="9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0" fontId="6" fillId="8" borderId="1" xfId="0" applyFont="1" applyFill="1" applyBorder="1" applyAlignment="1">
      <alignment horizontal="left" vertical="top"/>
    </xf>
    <xf numFmtId="0" fontId="9" fillId="10" borderId="1" xfId="0" applyFont="1" applyFill="1" applyBorder="1" applyAlignment="1">
      <alignment horizontal="left" vertical="top"/>
    </xf>
    <xf numFmtId="0" fontId="10" fillId="10" borderId="1" xfId="0" applyFont="1" applyFill="1" applyBorder="1" applyAlignment="1">
      <alignment horizontal="left" vertical="top" wrapText="1"/>
    </xf>
    <xf numFmtId="0" fontId="7" fillId="10" borderId="1" xfId="0" applyFont="1" applyFill="1" applyBorder="1" applyAlignment="1">
      <alignment horizontal="left" vertical="top" wrapText="1"/>
    </xf>
    <xf numFmtId="0" fontId="7" fillId="10" borderId="1" xfId="0" applyFont="1" applyFill="1" applyBorder="1" applyAlignment="1">
      <alignment horizontal="center" vertical="top" wrapText="1"/>
    </xf>
    <xf numFmtId="181" fontId="8" fillId="10" borderId="1" xfId="0" applyNumberFormat="1" applyFont="1" applyFill="1" applyBorder="1" applyAlignment="1">
      <alignment horizontal="left" vertical="top"/>
    </xf>
    <xf numFmtId="181" fontId="6" fillId="10" borderId="1" xfId="0" applyNumberFormat="1" applyFont="1" applyFill="1" applyBorder="1" applyAlignment="1">
      <alignment horizontal="left" vertical="top"/>
    </xf>
    <xf numFmtId="181" fontId="9" fillId="10" borderId="1" xfId="0" applyNumberFormat="1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left" vertical="top"/>
    </xf>
    <xf numFmtId="181" fontId="16" fillId="10" borderId="1" xfId="0" applyNumberFormat="1" applyFont="1" applyFill="1" applyBorder="1" applyAlignment="1">
      <alignment horizontal="left" vertical="top"/>
    </xf>
    <xf numFmtId="181" fontId="17" fillId="10" borderId="1" xfId="0" applyNumberFormat="1" applyFont="1" applyFill="1" applyBorder="1" applyAlignment="1">
      <alignment horizontal="left" vertical="top"/>
    </xf>
    <xf numFmtId="181" fontId="18" fillId="10" borderId="1" xfId="0" applyNumberFormat="1" applyFont="1" applyFill="1" applyBorder="1" applyAlignment="1">
      <alignment horizontal="left" vertical="top"/>
    </xf>
    <xf numFmtId="181" fontId="3" fillId="2" borderId="1" xfId="0" applyNumberFormat="1" applyFont="1" applyFill="1" applyBorder="1" applyAlignment="1">
      <alignment horizontal="left" vertical="top"/>
    </xf>
    <xf numFmtId="0" fontId="10" fillId="8" borderId="1" xfId="0" applyFont="1" applyFill="1" applyBorder="1" applyAlignment="1">
      <alignment horizontal="left" vertical="top" wrapText="1"/>
    </xf>
    <xf numFmtId="181" fontId="9" fillId="8" borderId="1" xfId="0" applyNumberFormat="1" applyFont="1" applyFill="1" applyBorder="1" applyAlignment="1">
      <alignment horizontal="left" vertical="top"/>
    </xf>
    <xf numFmtId="181" fontId="18" fillId="8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/>
    </xf>
    <xf numFmtId="0" fontId="13" fillId="5" borderId="2" xfId="0" applyFont="1" applyFill="1" applyBorder="1" applyAlignment="1">
      <alignment horizontal="left" vertical="center" wrapText="1"/>
    </xf>
    <xf numFmtId="0" fontId="13" fillId="5" borderId="3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  <xf numFmtId="0" fontId="8" fillId="8" borderId="1" xfId="0" applyFont="1" applyFill="1" applyBorder="1" applyAlignment="1">
      <alignment horizontal="left" vertical="top"/>
    </xf>
    <xf numFmtId="180" fontId="8" fillId="8" borderId="1" xfId="0" applyNumberFormat="1" applyFont="1" applyFill="1" applyBorder="1" applyAlignment="1">
      <alignment vertical="top" wrapText="1"/>
    </xf>
    <xf numFmtId="0" fontId="8" fillId="9" borderId="1" xfId="0" applyFont="1" applyFill="1" applyBorder="1" applyAlignment="1">
      <alignment horizontal="left" vertical="top"/>
    </xf>
    <xf numFmtId="180" fontId="8" fillId="9" borderId="1" xfId="0" applyNumberFormat="1" applyFont="1" applyFill="1" applyBorder="1" applyAlignment="1">
      <alignment vertical="top" wrapText="1"/>
    </xf>
    <xf numFmtId="0" fontId="3" fillId="8" borderId="1" xfId="0" applyFont="1" applyFill="1" applyBorder="1" applyAlignment="1">
      <alignment vertical="top" wrapText="1"/>
    </xf>
    <xf numFmtId="181" fontId="3" fillId="8" borderId="1" xfId="0" applyNumberFormat="1" applyFont="1" applyFill="1" applyBorder="1" applyAlignment="1">
      <alignment vertical="top" wrapText="1"/>
    </xf>
    <xf numFmtId="0" fontId="8" fillId="10" borderId="1" xfId="0" applyFont="1" applyFill="1" applyBorder="1" applyAlignment="1">
      <alignment horizontal="left" vertical="top"/>
    </xf>
    <xf numFmtId="180" fontId="8" fillId="1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80" fontId="8" fillId="1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1" fillId="8" borderId="1" xfId="0" applyFont="1" applyFill="1" applyBorder="1" applyAlignment="1">
      <alignment horizontal="left" vertical="top"/>
    </xf>
    <xf numFmtId="180" fontId="9" fillId="8" borderId="1" xfId="0" applyNumberFormat="1" applyFont="1" applyFill="1" applyBorder="1" applyAlignment="1">
      <alignment horizontal="left" vertical="top"/>
    </xf>
    <xf numFmtId="180" fontId="1" fillId="7" borderId="0" xfId="0" applyNumberFormat="1" applyFont="1" applyFill="1" applyAlignment="1">
      <alignment vertical="top"/>
    </xf>
    <xf numFmtId="0" fontId="2" fillId="7" borderId="0" xfId="0" applyFont="1" applyFill="1" applyAlignment="1">
      <alignment vertical="top"/>
    </xf>
    <xf numFmtId="181" fontId="17" fillId="2" borderId="1" xfId="0" applyNumberFormat="1" applyFont="1" applyFill="1" applyBorder="1" applyAlignment="1">
      <alignment horizontal="left" vertical="top"/>
    </xf>
    <xf numFmtId="0" fontId="4" fillId="5" borderId="1" xfId="0" applyFont="1" applyFill="1" applyBorder="1" applyAlignment="1">
      <alignment horizontal="left" vertical="top"/>
    </xf>
    <xf numFmtId="0" fontId="4" fillId="5" borderId="1" xfId="0" applyFont="1" applyFill="1" applyBorder="1" applyAlignment="1">
      <alignment horizontal="left" vertical="top" wrapText="1"/>
    </xf>
    <xf numFmtId="181" fontId="17" fillId="5" borderId="1" xfId="0" applyNumberFormat="1" applyFont="1" applyFill="1" applyBorder="1" applyAlignment="1">
      <alignment horizontal="left" vertical="top" wrapText="1"/>
    </xf>
    <xf numFmtId="181" fontId="6" fillId="5" borderId="1" xfId="0" applyNumberFormat="1" applyFont="1" applyFill="1" applyBorder="1" applyAlignment="1">
      <alignment horizontal="left" vertical="top" wrapText="1"/>
    </xf>
    <xf numFmtId="181" fontId="6" fillId="5" borderId="1" xfId="0" applyNumberFormat="1" applyFont="1" applyFill="1" applyBorder="1" applyAlignment="1">
      <alignment horizontal="left" vertical="top"/>
    </xf>
    <xf numFmtId="181" fontId="17" fillId="5" borderId="1" xfId="0" applyNumberFormat="1" applyFont="1" applyFill="1" applyBorder="1" applyAlignment="1">
      <alignment horizontal="left" vertical="top"/>
    </xf>
    <xf numFmtId="181" fontId="8" fillId="5" borderId="1" xfId="0" applyNumberFormat="1" applyFont="1" applyFill="1" applyBorder="1" applyAlignment="1">
      <alignment horizontal="left" vertical="top"/>
    </xf>
    <xf numFmtId="181" fontId="16" fillId="5" borderId="1" xfId="0" applyNumberFormat="1" applyFont="1" applyFill="1" applyBorder="1" applyAlignment="1">
      <alignment horizontal="left" vertical="top"/>
    </xf>
    <xf numFmtId="0" fontId="13" fillId="5" borderId="1" xfId="0" applyFont="1" applyFill="1" applyBorder="1" applyAlignment="1">
      <alignment horizontal="center" vertical="top"/>
    </xf>
    <xf numFmtId="181" fontId="9" fillId="2" borderId="1" xfId="0" applyNumberFormat="1" applyFont="1" applyFill="1" applyBorder="1" applyAlignment="1">
      <alignment horizontal="left" vertical="top" wrapText="1"/>
    </xf>
    <xf numFmtId="181" fontId="18" fillId="2" borderId="1" xfId="0" applyNumberFormat="1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left" vertical="top"/>
    </xf>
    <xf numFmtId="180" fontId="6" fillId="5" borderId="1" xfId="0" applyNumberFormat="1" applyFont="1" applyFill="1" applyBorder="1" applyAlignment="1">
      <alignment horizontal="left" vertical="top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/>
    </xf>
    <xf numFmtId="180" fontId="1" fillId="0" borderId="10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/>
    </xf>
    <xf numFmtId="0" fontId="9" fillId="3" borderId="0" xfId="0" applyFont="1" applyFill="1" applyAlignment="1">
      <alignment horizontal="left" vertical="top"/>
    </xf>
    <xf numFmtId="0" fontId="6" fillId="2" borderId="7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2" borderId="16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/>
    </xf>
    <xf numFmtId="0" fontId="10" fillId="2" borderId="4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left" vertical="top"/>
    </xf>
    <xf numFmtId="0" fontId="6" fillId="2" borderId="7" xfId="0" applyFont="1" applyFill="1" applyBorder="1" applyAlignment="1">
      <alignment horizontal="left" vertical="top"/>
    </xf>
    <xf numFmtId="0" fontId="6" fillId="2" borderId="10" xfId="0" applyFont="1" applyFill="1" applyBorder="1" applyAlignment="1">
      <alignment horizontal="left" vertical="top"/>
    </xf>
    <xf numFmtId="0" fontId="6" fillId="2" borderId="16" xfId="0" applyFont="1" applyFill="1" applyBorder="1" applyAlignment="1">
      <alignment horizontal="left" vertical="top"/>
    </xf>
    <xf numFmtId="0" fontId="9" fillId="2" borderId="7" xfId="0" applyFont="1" applyFill="1" applyBorder="1" applyAlignment="1">
      <alignment horizontal="left" vertical="top"/>
    </xf>
    <xf numFmtId="0" fontId="9" fillId="2" borderId="10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0" fontId="13" fillId="5" borderId="4" xfId="0" applyFont="1" applyFill="1" applyBorder="1" applyAlignment="1">
      <alignment horizontal="center" vertical="top"/>
    </xf>
    <xf numFmtId="0" fontId="1" fillId="5" borderId="0" xfId="0" applyFont="1" applyFill="1" applyAlignment="1">
      <alignment horizontal="left" vertical="top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center" vertical="center" wrapText="1"/>
    </xf>
    <xf numFmtId="180" fontId="8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81" fontId="3" fillId="0" borderId="1" xfId="0" applyNumberFormat="1" applyFont="1" applyBorder="1" applyAlignment="1">
      <alignment vertical="top"/>
    </xf>
    <xf numFmtId="180" fontId="8" fillId="0" borderId="2" xfId="0" applyNumberFormat="1" applyFont="1" applyBorder="1" applyAlignment="1">
      <alignment horizontal="left" vertical="top" wrapText="1"/>
    </xf>
    <xf numFmtId="180" fontId="8" fillId="0" borderId="3" xfId="0" applyNumberFormat="1" applyFont="1" applyBorder="1" applyAlignment="1">
      <alignment horizontal="left" vertical="top" wrapText="1"/>
    </xf>
    <xf numFmtId="180" fontId="8" fillId="0" borderId="4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5" borderId="0" xfId="0" applyFont="1" applyFill="1" applyAlignment="1">
      <alignment horizontal="left" vertical="top"/>
    </xf>
    <xf numFmtId="181" fontId="9" fillId="0" borderId="10" xfId="0" applyNumberFormat="1" applyFont="1" applyBorder="1" applyAlignment="1">
      <alignment horizontal="center" vertical="top"/>
    </xf>
    <xf numFmtId="181" fontId="9" fillId="0" borderId="0" xfId="0" applyNumberFormat="1" applyFont="1" applyAlignment="1">
      <alignment horizontal="center" vertical="top"/>
    </xf>
    <xf numFmtId="180" fontId="1" fillId="0" borderId="0" xfId="0" applyNumberFormat="1" applyFont="1" applyAlignment="1">
      <alignment horizontal="center" vertical="top"/>
    </xf>
    <xf numFmtId="0" fontId="4" fillId="0" borderId="18" xfId="0" applyFont="1" applyBorder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4" fillId="0" borderId="20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4" fillId="3" borderId="16" xfId="0" applyFont="1" applyFill="1" applyBorder="1" applyAlignment="1">
      <alignment horizontal="left" vertical="top"/>
    </xf>
    <xf numFmtId="0" fontId="4" fillId="3" borderId="14" xfId="0" applyFont="1" applyFill="1" applyBorder="1" applyAlignment="1">
      <alignment horizontal="left" vertical="top"/>
    </xf>
    <xf numFmtId="0" fontId="6" fillId="11" borderId="2" xfId="0" applyFont="1" applyFill="1" applyBorder="1" applyAlignment="1">
      <alignment horizontal="center" vertical="top"/>
    </xf>
    <xf numFmtId="0" fontId="7" fillId="11" borderId="19" xfId="0" applyFont="1" applyFill="1" applyBorder="1" applyAlignment="1">
      <alignment horizontal="left" vertical="top" wrapText="1"/>
    </xf>
    <xf numFmtId="0" fontId="7" fillId="11" borderId="3" xfId="0" applyFont="1" applyFill="1" applyBorder="1" applyAlignment="1">
      <alignment horizontal="left" vertical="top" wrapText="1"/>
    </xf>
    <xf numFmtId="181" fontId="8" fillId="11" borderId="1" xfId="0" applyNumberFormat="1" applyFont="1" applyFill="1" applyBorder="1" applyAlignment="1">
      <alignment horizontal="left" vertical="top"/>
    </xf>
    <xf numFmtId="181" fontId="6" fillId="11" borderId="1" xfId="0" applyNumberFormat="1" applyFont="1" applyFill="1" applyBorder="1" applyAlignment="1">
      <alignment horizontal="left" vertical="top"/>
    </xf>
    <xf numFmtId="0" fontId="6" fillId="11" borderId="3" xfId="0" applyFont="1" applyFill="1" applyBorder="1" applyAlignment="1">
      <alignment horizontal="center" vertical="top"/>
    </xf>
    <xf numFmtId="0" fontId="10" fillId="11" borderId="19" xfId="0" applyFont="1" applyFill="1" applyBorder="1" applyAlignment="1">
      <alignment horizontal="left" vertical="top" wrapText="1"/>
    </xf>
    <xf numFmtId="0" fontId="10" fillId="11" borderId="3" xfId="0" applyFont="1" applyFill="1" applyBorder="1" applyAlignment="1">
      <alignment horizontal="left" vertical="top" wrapText="1"/>
    </xf>
    <xf numFmtId="181" fontId="9" fillId="12" borderId="1" xfId="0" applyNumberFormat="1" applyFont="1" applyFill="1" applyBorder="1" applyAlignment="1">
      <alignment horizontal="left" vertical="top"/>
    </xf>
    <xf numFmtId="181" fontId="9" fillId="13" borderId="1" xfId="0" applyNumberFormat="1" applyFont="1" applyFill="1" applyBorder="1" applyAlignment="1">
      <alignment horizontal="left" vertical="top"/>
    </xf>
    <xf numFmtId="181" fontId="1" fillId="13" borderId="1" xfId="0" applyNumberFormat="1" applyFont="1" applyFill="1" applyBorder="1" applyAlignment="1">
      <alignment horizontal="left" vertical="top"/>
    </xf>
    <xf numFmtId="181" fontId="9" fillId="14" borderId="1" xfId="0" applyNumberFormat="1" applyFont="1" applyFill="1" applyBorder="1" applyAlignment="1">
      <alignment horizontal="left" vertical="top"/>
    </xf>
    <xf numFmtId="0" fontId="6" fillId="11" borderId="4" xfId="0" applyFont="1" applyFill="1" applyBorder="1" applyAlignment="1">
      <alignment horizontal="center" vertical="top"/>
    </xf>
    <xf numFmtId="0" fontId="10" fillId="11" borderId="22" xfId="0" applyFont="1" applyFill="1" applyBorder="1" applyAlignment="1">
      <alignment horizontal="left" vertical="top" wrapText="1"/>
    </xf>
    <xf numFmtId="0" fontId="10" fillId="11" borderId="4" xfId="0" applyFont="1" applyFill="1" applyBorder="1" applyAlignment="1">
      <alignment horizontal="left" vertical="top" wrapText="1"/>
    </xf>
    <xf numFmtId="0" fontId="6" fillId="11" borderId="0" xfId="0" applyFont="1" applyFill="1" applyAlignment="1">
      <alignment horizontal="center" vertical="top"/>
    </xf>
    <xf numFmtId="0" fontId="10" fillId="11" borderId="14" xfId="0" applyFont="1" applyFill="1" applyBorder="1" applyAlignment="1">
      <alignment horizontal="left" vertical="top" wrapText="1"/>
    </xf>
    <xf numFmtId="0" fontId="4" fillId="3" borderId="23" xfId="0" applyFont="1" applyFill="1" applyBorder="1" applyAlignment="1">
      <alignment horizontal="left" vertical="top"/>
    </xf>
    <xf numFmtId="0" fontId="6" fillId="15" borderId="2" xfId="0" applyFont="1" applyFill="1" applyBorder="1" applyAlignment="1">
      <alignment horizontal="left" vertical="top"/>
    </xf>
    <xf numFmtId="0" fontId="7" fillId="9" borderId="2" xfId="0" applyFont="1" applyFill="1" applyBorder="1" applyAlignment="1">
      <alignment horizontal="left" vertical="top" wrapText="1"/>
    </xf>
    <xf numFmtId="0" fontId="7" fillId="9" borderId="1" xfId="0" applyFont="1" applyFill="1" applyBorder="1" applyAlignment="1">
      <alignment horizontal="left" vertical="top" wrapText="1"/>
    </xf>
    <xf numFmtId="181" fontId="8" fillId="9" borderId="1" xfId="0" applyNumberFormat="1" applyFont="1" applyFill="1" applyBorder="1" applyAlignment="1">
      <alignment horizontal="left" vertical="top"/>
    </xf>
    <xf numFmtId="0" fontId="6" fillId="15" borderId="3" xfId="0" applyFont="1" applyFill="1" applyBorder="1" applyAlignment="1">
      <alignment horizontal="left" vertical="top"/>
    </xf>
    <xf numFmtId="0" fontId="7" fillId="9" borderId="3" xfId="0" applyFont="1" applyFill="1" applyBorder="1" applyAlignment="1">
      <alignment horizontal="left" vertical="top" wrapText="1"/>
    </xf>
    <xf numFmtId="0" fontId="10" fillId="9" borderId="1" xfId="0" applyFont="1" applyFill="1" applyBorder="1" applyAlignment="1">
      <alignment horizontal="left" vertical="top" wrapText="1"/>
    </xf>
    <xf numFmtId="0" fontId="6" fillId="15" borderId="4" xfId="0" applyFont="1" applyFill="1" applyBorder="1" applyAlignment="1">
      <alignment horizontal="left" vertical="top"/>
    </xf>
    <xf numFmtId="0" fontId="7" fillId="9" borderId="4" xfId="0" applyFont="1" applyFill="1" applyBorder="1" applyAlignment="1">
      <alignment horizontal="left" vertical="top" wrapText="1"/>
    </xf>
    <xf numFmtId="0" fontId="9" fillId="9" borderId="2" xfId="0" applyFont="1" applyFill="1" applyBorder="1" applyAlignment="1">
      <alignment horizontal="left" vertical="top"/>
    </xf>
    <xf numFmtId="0" fontId="10" fillId="16" borderId="1" xfId="0" applyFont="1" applyFill="1" applyBorder="1" applyAlignment="1">
      <alignment horizontal="left" vertical="top" wrapText="1"/>
    </xf>
    <xf numFmtId="181" fontId="6" fillId="16" borderId="1" xfId="0" applyNumberFormat="1" applyFont="1" applyFill="1" applyBorder="1" applyAlignment="1">
      <alignment horizontal="left" vertical="top"/>
    </xf>
    <xf numFmtId="0" fontId="9" fillId="9" borderId="3" xfId="0" applyFont="1" applyFill="1" applyBorder="1" applyAlignment="1">
      <alignment horizontal="left" vertical="top"/>
    </xf>
    <xf numFmtId="181" fontId="9" fillId="16" borderId="1" xfId="0" applyNumberFormat="1" applyFont="1" applyFill="1" applyBorder="1" applyAlignment="1">
      <alignment horizontal="left" vertical="top"/>
    </xf>
    <xf numFmtId="0" fontId="10" fillId="9" borderId="2" xfId="0" applyFont="1" applyFill="1" applyBorder="1" applyAlignment="1">
      <alignment horizontal="left" vertical="top" wrapText="1"/>
    </xf>
    <xf numFmtId="0" fontId="10" fillId="17" borderId="1" xfId="0" applyFont="1" applyFill="1" applyBorder="1" applyAlignment="1">
      <alignment horizontal="left" vertical="top" wrapText="1"/>
    </xf>
    <xf numFmtId="181" fontId="6" fillId="17" borderId="1" xfId="0" applyNumberFormat="1" applyFont="1" applyFill="1" applyBorder="1" applyAlignment="1">
      <alignment horizontal="left" vertical="top"/>
    </xf>
    <xf numFmtId="0" fontId="10" fillId="9" borderId="3" xfId="0" applyFont="1" applyFill="1" applyBorder="1" applyAlignment="1">
      <alignment horizontal="left" vertical="top" wrapText="1"/>
    </xf>
    <xf numFmtId="181" fontId="9" fillId="17" borderId="1" xfId="0" applyNumberFormat="1" applyFont="1" applyFill="1" applyBorder="1" applyAlignment="1">
      <alignment horizontal="left" vertical="top"/>
    </xf>
    <xf numFmtId="0" fontId="6" fillId="18" borderId="2" xfId="0" applyFont="1" applyFill="1" applyBorder="1" applyAlignment="1">
      <alignment horizontal="left" vertical="top"/>
    </xf>
    <xf numFmtId="0" fontId="10" fillId="18" borderId="1" xfId="0" applyFont="1" applyFill="1" applyBorder="1" applyAlignment="1">
      <alignment horizontal="left" vertical="top" wrapText="1"/>
    </xf>
    <xf numFmtId="0" fontId="10" fillId="14" borderId="1" xfId="0" applyFont="1" applyFill="1" applyBorder="1" applyAlignment="1">
      <alignment horizontal="left" vertical="top" wrapText="1"/>
    </xf>
    <xf numFmtId="181" fontId="6" fillId="18" borderId="1" xfId="0" applyNumberFormat="1" applyFont="1" applyFill="1" applyBorder="1" applyAlignment="1">
      <alignment horizontal="left" vertical="top"/>
    </xf>
    <xf numFmtId="181" fontId="9" fillId="18" borderId="1" xfId="0" applyNumberFormat="1" applyFont="1" applyFill="1" applyBorder="1" applyAlignment="1">
      <alignment horizontal="left" vertical="top"/>
    </xf>
    <xf numFmtId="0" fontId="6" fillId="18" borderId="3" xfId="0" applyFont="1" applyFill="1" applyBorder="1" applyAlignment="1">
      <alignment horizontal="left" vertical="top"/>
    </xf>
    <xf numFmtId="0" fontId="9" fillId="18" borderId="1" xfId="0" applyFont="1" applyFill="1" applyBorder="1" applyAlignment="1">
      <alignment horizontal="left" vertical="top"/>
    </xf>
    <xf numFmtId="0" fontId="10" fillId="18" borderId="3" xfId="0" applyFont="1" applyFill="1" applyBorder="1" applyAlignment="1">
      <alignment horizontal="left" vertical="top" wrapText="1"/>
    </xf>
    <xf numFmtId="0" fontId="10" fillId="18" borderId="4" xfId="0" applyFont="1" applyFill="1" applyBorder="1" applyAlignment="1">
      <alignment horizontal="left" vertical="top" wrapText="1"/>
    </xf>
    <xf numFmtId="0" fontId="4" fillId="5" borderId="5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left" vertical="top"/>
    </xf>
    <xf numFmtId="0" fontId="4" fillId="5" borderId="8" xfId="0" applyFont="1" applyFill="1" applyBorder="1" applyAlignment="1">
      <alignment horizontal="left" vertical="top"/>
    </xf>
    <xf numFmtId="0" fontId="4" fillId="5" borderId="0" xfId="0" applyFont="1" applyFill="1" applyAlignment="1">
      <alignment horizontal="center" vertical="top"/>
    </xf>
    <xf numFmtId="0" fontId="4" fillId="5" borderId="0" xfId="0" applyFont="1" applyFill="1" applyAlignment="1">
      <alignment horizontal="left" vertical="top"/>
    </xf>
    <xf numFmtId="0" fontId="4" fillId="5" borderId="13" xfId="0" applyFont="1" applyFill="1" applyBorder="1" applyAlignment="1">
      <alignment horizontal="left" vertical="top"/>
    </xf>
    <xf numFmtId="0" fontId="4" fillId="5" borderId="14" xfId="0" applyFont="1" applyFill="1" applyBorder="1" applyAlignment="1">
      <alignment horizontal="center" vertical="top"/>
    </xf>
    <xf numFmtId="0" fontId="4" fillId="5" borderId="14" xfId="0" applyFont="1" applyFill="1" applyBorder="1" applyAlignment="1">
      <alignment horizontal="left" vertical="top"/>
    </xf>
    <xf numFmtId="0" fontId="4" fillId="5" borderId="15" xfId="0" applyFont="1" applyFill="1" applyBorder="1" applyAlignment="1">
      <alignment horizontal="left" vertical="top"/>
    </xf>
    <xf numFmtId="0" fontId="13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8" fillId="11" borderId="0" xfId="0" applyFont="1" applyFill="1" applyAlignment="1">
      <alignment horizontal="left" vertical="top"/>
    </xf>
    <xf numFmtId="0" fontId="8" fillId="11" borderId="1" xfId="0" applyFont="1" applyFill="1" applyBorder="1" applyAlignment="1">
      <alignment horizontal="left" vertical="top"/>
    </xf>
    <xf numFmtId="181" fontId="1" fillId="13" borderId="0" xfId="0" applyNumberFormat="1" applyFont="1" applyFill="1" applyAlignment="1">
      <alignment horizontal="left" vertical="top"/>
    </xf>
    <xf numFmtId="0" fontId="8" fillId="13" borderId="1" xfId="0" applyFont="1" applyFill="1" applyBorder="1" applyAlignment="1">
      <alignment horizontal="left" vertical="top"/>
    </xf>
    <xf numFmtId="0" fontId="8" fillId="14" borderId="1" xfId="0" applyFont="1" applyFill="1" applyBorder="1" applyAlignment="1">
      <alignment horizontal="left" vertical="top"/>
    </xf>
    <xf numFmtId="0" fontId="4" fillId="9" borderId="1" xfId="0" applyFont="1" applyFill="1" applyBorder="1" applyAlignment="1">
      <alignment horizontal="left" vertical="top"/>
    </xf>
    <xf numFmtId="0" fontId="8" fillId="16" borderId="1" xfId="0" applyFont="1" applyFill="1" applyBorder="1" applyAlignment="1">
      <alignment horizontal="left" vertical="top"/>
    </xf>
    <xf numFmtId="0" fontId="8" fillId="17" borderId="1" xfId="0" applyFont="1" applyFill="1" applyBorder="1" applyAlignment="1">
      <alignment horizontal="left" vertical="top"/>
    </xf>
    <xf numFmtId="0" fontId="8" fillId="17" borderId="0" xfId="0" applyFont="1" applyFill="1" applyAlignment="1">
      <alignment horizontal="left" vertical="top"/>
    </xf>
    <xf numFmtId="181" fontId="18" fillId="17" borderId="1" xfId="0" applyNumberFormat="1" applyFont="1" applyFill="1" applyBorder="1" applyAlignment="1">
      <alignment horizontal="left" vertical="top"/>
    </xf>
    <xf numFmtId="0" fontId="1" fillId="18" borderId="1" xfId="0" applyFont="1" applyFill="1" applyBorder="1" applyAlignment="1">
      <alignment horizontal="left" vertical="top"/>
    </xf>
    <xf numFmtId="181" fontId="18" fillId="18" borderId="1" xfId="0" applyNumberFormat="1" applyFont="1" applyFill="1" applyBorder="1" applyAlignment="1">
      <alignment horizontal="left" vertical="top"/>
    </xf>
    <xf numFmtId="0" fontId="8" fillId="5" borderId="17" xfId="0" applyFont="1" applyFill="1" applyBorder="1" applyAlignment="1">
      <alignment horizontal="left" vertical="top"/>
    </xf>
    <xf numFmtId="181" fontId="6" fillId="0" borderId="0" xfId="0" applyNumberFormat="1" applyFont="1" applyAlignment="1">
      <alignment horizontal="left" vertical="top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5" fillId="0" borderId="21" xfId="0" applyFont="1" applyBorder="1" applyAlignment="1">
      <alignment horizontal="left" vertical="top"/>
    </xf>
    <xf numFmtId="0" fontId="12" fillId="0" borderId="1" xfId="0" applyFont="1" applyBorder="1" applyAlignment="1">
      <alignment horizontal="center" vertical="top"/>
    </xf>
    <xf numFmtId="0" fontId="15" fillId="3" borderId="0" xfId="0" applyFont="1" applyFill="1" applyAlignment="1">
      <alignment horizontal="left" vertical="top"/>
    </xf>
    <xf numFmtId="0" fontId="5" fillId="3" borderId="16" xfId="0" applyFont="1" applyFill="1" applyBorder="1" applyAlignment="1">
      <alignment horizontal="left" vertical="top"/>
    </xf>
    <xf numFmtId="0" fontId="5" fillId="3" borderId="14" xfId="0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top"/>
    </xf>
    <xf numFmtId="181" fontId="16" fillId="11" borderId="1" xfId="0" applyNumberFormat="1" applyFont="1" applyFill="1" applyBorder="1" applyAlignment="1">
      <alignment horizontal="left" vertical="top"/>
    </xf>
    <xf numFmtId="181" fontId="17" fillId="11" borderId="1" xfId="0" applyNumberFormat="1" applyFont="1" applyFill="1" applyBorder="1" applyAlignment="1">
      <alignment horizontal="left" vertical="top"/>
    </xf>
    <xf numFmtId="181" fontId="3" fillId="11" borderId="1" xfId="0" applyNumberFormat="1" applyFont="1" applyFill="1" applyBorder="1" applyAlignment="1">
      <alignment horizontal="left" vertical="top"/>
    </xf>
    <xf numFmtId="181" fontId="14" fillId="11" borderId="1" xfId="0" applyNumberFormat="1" applyFont="1" applyFill="1" applyBorder="1" applyAlignment="1">
      <alignment horizontal="left" vertical="top"/>
    </xf>
    <xf numFmtId="181" fontId="15" fillId="13" borderId="1" xfId="0" applyNumberFormat="1" applyFont="1" applyFill="1" applyBorder="1" applyAlignment="1">
      <alignment horizontal="left" vertical="top"/>
    </xf>
    <xf numFmtId="181" fontId="15" fillId="14" borderId="1" xfId="0" applyNumberFormat="1" applyFont="1" applyFill="1" applyBorder="1" applyAlignment="1">
      <alignment horizontal="left" vertical="top"/>
    </xf>
    <xf numFmtId="181" fontId="18" fillId="14" borderId="1" xfId="0" applyNumberFormat="1" applyFont="1" applyFill="1" applyBorder="1" applyAlignment="1">
      <alignment horizontal="left" vertical="top"/>
    </xf>
    <xf numFmtId="181" fontId="18" fillId="12" borderId="1" xfId="0" applyNumberFormat="1" applyFont="1" applyFill="1" applyBorder="1" applyAlignment="1">
      <alignment horizontal="left" vertical="top"/>
    </xf>
    <xf numFmtId="181" fontId="15" fillId="12" borderId="1" xfId="0" applyNumberFormat="1" applyFont="1" applyFill="1" applyBorder="1" applyAlignment="1">
      <alignment horizontal="left" vertical="top"/>
    </xf>
    <xf numFmtId="0" fontId="12" fillId="9" borderId="2" xfId="0" applyFont="1" applyFill="1" applyBorder="1" applyAlignment="1">
      <alignment horizontal="left" vertical="top" wrapText="1"/>
    </xf>
    <xf numFmtId="0" fontId="12" fillId="9" borderId="1" xfId="0" applyFont="1" applyFill="1" applyBorder="1" applyAlignment="1">
      <alignment horizontal="left" vertical="top" wrapText="1"/>
    </xf>
    <xf numFmtId="181" fontId="3" fillId="9" borderId="1" xfId="0" applyNumberFormat="1" applyFont="1" applyFill="1" applyBorder="1" applyAlignment="1">
      <alignment horizontal="left" vertical="top"/>
    </xf>
    <xf numFmtId="0" fontId="12" fillId="9" borderId="3" xfId="0" applyFont="1" applyFill="1" applyBorder="1" applyAlignment="1">
      <alignment horizontal="left" vertical="top" wrapText="1"/>
    </xf>
    <xf numFmtId="0" fontId="19" fillId="9" borderId="1" xfId="0" applyFont="1" applyFill="1" applyBorder="1" applyAlignment="1">
      <alignment horizontal="left" vertical="top" wrapText="1"/>
    </xf>
    <xf numFmtId="0" fontId="12" fillId="9" borderId="4" xfId="0" applyFont="1" applyFill="1" applyBorder="1" applyAlignment="1">
      <alignment horizontal="left" vertical="top" wrapText="1"/>
    </xf>
    <xf numFmtId="0" fontId="19" fillId="16" borderId="1" xfId="0" applyFont="1" applyFill="1" applyBorder="1" applyAlignment="1">
      <alignment horizontal="left" vertical="top" wrapText="1"/>
    </xf>
    <xf numFmtId="181" fontId="14" fillId="16" borderId="1" xfId="0" applyNumberFormat="1" applyFont="1" applyFill="1" applyBorder="1" applyAlignment="1">
      <alignment horizontal="left" vertical="top"/>
    </xf>
    <xf numFmtId="181" fontId="15" fillId="16" borderId="1" xfId="0" applyNumberFormat="1" applyFont="1" applyFill="1" applyBorder="1" applyAlignment="1">
      <alignment horizontal="left" vertical="top"/>
    </xf>
    <xf numFmtId="0" fontId="19" fillId="0" borderId="1" xfId="0" applyFont="1" applyBorder="1" applyAlignment="1">
      <alignment horizontal="left" vertical="top" wrapText="1"/>
    </xf>
    <xf numFmtId="181" fontId="15" fillId="0" borderId="1" xfId="0" applyNumberFormat="1" applyFont="1" applyBorder="1" applyAlignment="1">
      <alignment horizontal="left" vertical="top"/>
    </xf>
    <xf numFmtId="0" fontId="19" fillId="9" borderId="2" xfId="0" applyFont="1" applyFill="1" applyBorder="1" applyAlignment="1">
      <alignment horizontal="left" vertical="top" wrapText="1"/>
    </xf>
    <xf numFmtId="0" fontId="19" fillId="17" borderId="1" xfId="0" applyFont="1" applyFill="1" applyBorder="1" applyAlignment="1">
      <alignment horizontal="left" vertical="top" wrapText="1"/>
    </xf>
    <xf numFmtId="181" fontId="14" fillId="17" borderId="1" xfId="0" applyNumberFormat="1" applyFont="1" applyFill="1" applyBorder="1" applyAlignment="1">
      <alignment horizontal="left" vertical="top"/>
    </xf>
    <xf numFmtId="0" fontId="19" fillId="9" borderId="3" xfId="0" applyFont="1" applyFill="1" applyBorder="1" applyAlignment="1">
      <alignment horizontal="left" vertical="top" wrapText="1"/>
    </xf>
    <xf numFmtId="181" fontId="15" fillId="17" borderId="1" xfId="0" applyNumberFormat="1" applyFont="1" applyFill="1" applyBorder="1" applyAlignment="1">
      <alignment horizontal="left" vertical="top"/>
    </xf>
    <xf numFmtId="0" fontId="19" fillId="11" borderId="3" xfId="0" applyFont="1" applyFill="1" applyBorder="1" applyAlignment="1">
      <alignment horizontal="left" vertical="top" wrapText="1"/>
    </xf>
    <xf numFmtId="0" fontId="5" fillId="3" borderId="23" xfId="0" applyFont="1" applyFill="1" applyBorder="1" applyAlignment="1">
      <alignment horizontal="left" vertical="top"/>
    </xf>
    <xf numFmtId="0" fontId="19" fillId="18" borderId="1" xfId="0" applyFont="1" applyFill="1" applyBorder="1" applyAlignment="1">
      <alignment horizontal="left" vertical="top" wrapText="1"/>
    </xf>
    <xf numFmtId="0" fontId="19" fillId="14" borderId="1" xfId="0" applyFont="1" applyFill="1" applyBorder="1" applyAlignment="1">
      <alignment horizontal="left" vertical="top" wrapText="1"/>
    </xf>
    <xf numFmtId="181" fontId="14" fillId="18" borderId="1" xfId="0" applyNumberFormat="1" applyFont="1" applyFill="1" applyBorder="1" applyAlignment="1">
      <alignment horizontal="left" vertical="top"/>
    </xf>
    <xf numFmtId="181" fontId="15" fillId="18" borderId="1" xfId="0" applyNumberFormat="1" applyFont="1" applyFill="1" applyBorder="1" applyAlignment="1">
      <alignment horizontal="left" vertical="top"/>
    </xf>
    <xf numFmtId="0" fontId="19" fillId="18" borderId="3" xfId="0" applyFont="1" applyFill="1" applyBorder="1" applyAlignment="1">
      <alignment horizontal="left" vertical="top" wrapText="1"/>
    </xf>
    <xf numFmtId="0" fontId="19" fillId="18" borderId="4" xfId="0" applyFont="1" applyFill="1" applyBorder="1" applyAlignment="1">
      <alignment horizontal="left" vertical="top" wrapText="1"/>
    </xf>
    <xf numFmtId="181" fontId="14" fillId="5" borderId="1" xfId="0" applyNumberFormat="1" applyFont="1" applyFill="1" applyBorder="1" applyAlignment="1">
      <alignment horizontal="left" vertical="top" wrapText="1"/>
    </xf>
    <xf numFmtId="181" fontId="14" fillId="5" borderId="1" xfId="0" applyNumberFormat="1" applyFont="1" applyFill="1" applyBorder="1" applyAlignment="1">
      <alignment horizontal="left" vertical="top"/>
    </xf>
    <xf numFmtId="181" fontId="3" fillId="5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5" fillId="9" borderId="1" xfId="0" applyFont="1" applyFill="1" applyBorder="1" applyAlignment="1">
      <alignment horizontal="left" vertical="top"/>
    </xf>
    <xf numFmtId="0" fontId="3" fillId="9" borderId="1" xfId="0" applyFont="1" applyFill="1" applyBorder="1" applyAlignment="1">
      <alignment horizontal="left" vertical="top"/>
    </xf>
    <xf numFmtId="0" fontId="3" fillId="16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17" borderId="1" xfId="0" applyFont="1" applyFill="1" applyBorder="1" applyAlignment="1">
      <alignment horizontal="left" vertical="top"/>
    </xf>
    <xf numFmtId="0" fontId="3" fillId="17" borderId="0" xfId="0" applyFont="1" applyFill="1" applyAlignment="1">
      <alignment horizontal="left" vertical="top"/>
    </xf>
    <xf numFmtId="0" fontId="2" fillId="18" borderId="1" xfId="0" applyFont="1" applyFill="1" applyBorder="1" applyAlignment="1">
      <alignment horizontal="left" vertical="top"/>
    </xf>
    <xf numFmtId="0" fontId="3" fillId="13" borderId="1" xfId="0" applyFont="1" applyFill="1" applyBorder="1" applyAlignment="1">
      <alignment horizontal="left" vertical="top"/>
    </xf>
    <xf numFmtId="0" fontId="3" fillId="14" borderId="1" xfId="0" applyFont="1" applyFill="1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181" fontId="15" fillId="0" borderId="0" xfId="0" applyNumberFormat="1" applyFont="1" applyAlignment="1">
      <alignment horizontal="left" vertical="top"/>
    </xf>
    <xf numFmtId="181" fontId="14" fillId="0" borderId="0" xfId="0" applyNumberFormat="1" applyFont="1" applyAlignment="1">
      <alignment horizontal="left" vertical="top"/>
    </xf>
    <xf numFmtId="181" fontId="18" fillId="13" borderId="1" xfId="0" applyNumberFormat="1" applyFont="1" applyFill="1" applyBorder="1" applyAlignment="1">
      <alignment horizontal="left" vertical="top"/>
    </xf>
    <xf numFmtId="0" fontId="5" fillId="0" borderId="24" xfId="0" applyFont="1" applyBorder="1" applyAlignment="1">
      <alignment horizontal="left" vertical="top"/>
    </xf>
    <xf numFmtId="0" fontId="5" fillId="0" borderId="25" xfId="0" applyFont="1" applyBorder="1" applyAlignment="1">
      <alignment horizontal="left" vertical="top"/>
    </xf>
    <xf numFmtId="0" fontId="5" fillId="0" borderId="26" xfId="0" applyFont="1" applyBorder="1" applyAlignment="1">
      <alignment horizontal="left" vertical="top"/>
    </xf>
    <xf numFmtId="0" fontId="5" fillId="0" borderId="27" xfId="0" applyFont="1" applyBorder="1" applyAlignment="1">
      <alignment horizontal="left" vertical="top"/>
    </xf>
    <xf numFmtId="0" fontId="5" fillId="3" borderId="6" xfId="0" applyFont="1" applyFill="1" applyBorder="1" applyAlignment="1">
      <alignment horizontal="left" vertical="top"/>
    </xf>
    <xf numFmtId="181" fontId="17" fillId="18" borderId="1" xfId="0" applyNumberFormat="1" applyFont="1" applyFill="1" applyBorder="1" applyAlignment="1">
      <alignment horizontal="left" vertical="top"/>
    </xf>
    <xf numFmtId="181" fontId="18" fillId="0" borderId="1" xfId="0" applyNumberFormat="1" applyFont="1" applyBorder="1" applyAlignment="1">
      <alignment horizontal="left" vertical="top"/>
    </xf>
    <xf numFmtId="181" fontId="2" fillId="0" borderId="7" xfId="0" applyNumberFormat="1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181" fontId="2" fillId="0" borderId="10" xfId="0" applyNumberFormat="1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181" fontId="2" fillId="7" borderId="0" xfId="0" applyNumberFormat="1" applyFont="1" applyFill="1" applyAlignment="1">
      <alignment horizontal="left" vertical="top"/>
    </xf>
    <xf numFmtId="0" fontId="2" fillId="7" borderId="0" xfId="0" applyFont="1" applyFill="1" applyAlignment="1">
      <alignment horizontal="left" vertical="top"/>
    </xf>
    <xf numFmtId="181" fontId="2" fillId="7" borderId="10" xfId="0" applyNumberFormat="1" applyFont="1" applyFill="1" applyBorder="1" applyAlignment="1">
      <alignment horizontal="left" vertical="top"/>
    </xf>
    <xf numFmtId="0" fontId="2" fillId="7" borderId="13" xfId="0" applyFont="1" applyFill="1" applyBorder="1" applyAlignment="1">
      <alignment horizontal="left" vertical="top" wrapText="1"/>
    </xf>
    <xf numFmtId="181" fontId="2" fillId="7" borderId="16" xfId="0" applyNumberFormat="1" applyFont="1" applyFill="1" applyBorder="1" applyAlignment="1">
      <alignment horizontal="left" vertical="top"/>
    </xf>
    <xf numFmtId="0" fontId="2" fillId="7" borderId="14" xfId="0" applyFont="1" applyFill="1" applyBorder="1" applyAlignment="1">
      <alignment horizontal="left" vertical="top"/>
    </xf>
    <xf numFmtId="0" fontId="2" fillId="7" borderId="1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181" fontId="2" fillId="2" borderId="1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7" fillId="11" borderId="19" xfId="0" applyFont="1" applyFill="1" applyBorder="1" applyAlignment="1">
      <alignment horizontal="center" vertical="top" wrapText="1"/>
    </xf>
    <xf numFmtId="0" fontId="7" fillId="11" borderId="3" xfId="0" applyFont="1" applyFill="1" applyBorder="1" applyAlignment="1">
      <alignment horizontal="center" vertical="top" wrapText="1"/>
    </xf>
    <xf numFmtId="0" fontId="10" fillId="11" borderId="19" xfId="0" applyFont="1" applyFill="1" applyBorder="1" applyAlignment="1">
      <alignment horizontal="center" vertical="top" wrapText="1"/>
    </xf>
    <xf numFmtId="0" fontId="10" fillId="11" borderId="3" xfId="0" applyFont="1" applyFill="1" applyBorder="1" applyAlignment="1">
      <alignment horizontal="center" vertical="top" wrapText="1"/>
    </xf>
    <xf numFmtId="0" fontId="10" fillId="11" borderId="22" xfId="0" applyFont="1" applyFill="1" applyBorder="1" applyAlignment="1">
      <alignment horizontal="center" vertical="top" wrapText="1"/>
    </xf>
    <xf numFmtId="0" fontId="10" fillId="11" borderId="19" xfId="0" applyFont="1" applyFill="1" applyBorder="1" applyAlignment="1">
      <alignment vertical="top" wrapText="1"/>
    </xf>
    <xf numFmtId="0" fontId="10" fillId="11" borderId="3" xfId="0" applyFont="1" applyFill="1" applyBorder="1" applyAlignment="1">
      <alignment vertical="top" wrapText="1"/>
    </xf>
    <xf numFmtId="0" fontId="10" fillId="11" borderId="4" xfId="0" applyFont="1" applyFill="1" applyBorder="1" applyAlignment="1">
      <alignment vertical="top" wrapText="1"/>
    </xf>
    <xf numFmtId="0" fontId="4" fillId="5" borderId="8" xfId="0" applyFont="1" applyFill="1" applyBorder="1" applyAlignment="1">
      <alignment horizontal="center" vertical="top"/>
    </xf>
    <xf numFmtId="0" fontId="4" fillId="5" borderId="13" xfId="0" applyFont="1" applyFill="1" applyBorder="1" applyAlignment="1">
      <alignment horizontal="center" vertical="top"/>
    </xf>
    <xf numFmtId="0" fontId="4" fillId="5" borderId="15" xfId="0" applyFont="1" applyFill="1" applyBorder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6" fillId="11" borderId="2" xfId="0" applyFont="1" applyFill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11" borderId="1" xfId="0" applyFont="1" applyFill="1" applyBorder="1" applyAlignment="1">
      <alignment horizontal="left" vertical="top"/>
    </xf>
    <xf numFmtId="0" fontId="9" fillId="12" borderId="1" xfId="0" applyFont="1" applyFill="1" applyBorder="1" applyAlignment="1">
      <alignment horizontal="left" vertical="top"/>
    </xf>
    <xf numFmtId="0" fontId="10" fillId="12" borderId="1" xfId="0" applyFont="1" applyFill="1" applyBorder="1" applyAlignment="1">
      <alignment horizontal="left" vertical="top" wrapText="1"/>
    </xf>
    <xf numFmtId="181" fontId="8" fillId="12" borderId="1" xfId="0" applyNumberFormat="1" applyFont="1" applyFill="1" applyBorder="1" applyAlignment="1">
      <alignment horizontal="left" vertical="top"/>
    </xf>
    <xf numFmtId="181" fontId="6" fillId="12" borderId="1" xfId="0" applyNumberFormat="1" applyFont="1" applyFill="1" applyBorder="1" applyAlignment="1">
      <alignment horizontal="left" vertical="top"/>
    </xf>
    <xf numFmtId="181" fontId="8" fillId="13" borderId="1" xfId="0" applyNumberFormat="1" applyFont="1" applyFill="1" applyBorder="1" applyAlignment="1">
      <alignment horizontal="left" vertical="top"/>
    </xf>
    <xf numFmtId="2" fontId="1" fillId="13" borderId="1" xfId="0" applyNumberFormat="1" applyFont="1" applyFill="1" applyBorder="1" applyAlignment="1">
      <alignment horizontal="left" vertical="top"/>
    </xf>
    <xf numFmtId="181" fontId="8" fillId="14" borderId="1" xfId="0" applyNumberFormat="1" applyFont="1" applyFill="1" applyBorder="1" applyAlignment="1">
      <alignment horizontal="left" vertical="top"/>
    </xf>
    <xf numFmtId="181" fontId="6" fillId="13" borderId="1" xfId="0" applyNumberFormat="1" applyFont="1" applyFill="1" applyBorder="1" applyAlignment="1">
      <alignment horizontal="left" vertical="top"/>
    </xf>
    <xf numFmtId="181" fontId="6" fillId="14" borderId="1" xfId="0" applyNumberFormat="1" applyFont="1" applyFill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6" fillId="15" borderId="2" xfId="0" applyFont="1" applyFill="1" applyBorder="1" applyAlignment="1">
      <alignment horizontal="center" vertical="top"/>
    </xf>
    <xf numFmtId="0" fontId="7" fillId="9" borderId="2" xfId="0" applyFont="1" applyFill="1" applyBorder="1" applyAlignment="1">
      <alignment horizontal="center" vertical="top" wrapText="1"/>
    </xf>
    <xf numFmtId="0" fontId="6" fillId="15" borderId="3" xfId="0" applyFont="1" applyFill="1" applyBorder="1" applyAlignment="1">
      <alignment horizontal="center" vertical="top"/>
    </xf>
    <xf numFmtId="0" fontId="7" fillId="9" borderId="3" xfId="0" applyFont="1" applyFill="1" applyBorder="1" applyAlignment="1">
      <alignment horizontal="center" vertical="top" wrapText="1"/>
    </xf>
    <xf numFmtId="0" fontId="6" fillId="15" borderId="4" xfId="0" applyFont="1" applyFill="1" applyBorder="1" applyAlignment="1">
      <alignment horizontal="center" vertical="top"/>
    </xf>
    <xf numFmtId="0" fontId="7" fillId="9" borderId="4" xfId="0" applyFont="1" applyFill="1" applyBorder="1" applyAlignment="1">
      <alignment horizontal="center" vertical="top" wrapText="1"/>
    </xf>
    <xf numFmtId="0" fontId="9" fillId="16" borderId="2" xfId="0" applyFont="1" applyFill="1" applyBorder="1" applyAlignment="1">
      <alignment horizontal="left" vertical="top"/>
    </xf>
    <xf numFmtId="0" fontId="9" fillId="16" borderId="3" xfId="0" applyFont="1" applyFill="1" applyBorder="1" applyAlignment="1">
      <alignment horizontal="left" vertical="top"/>
    </xf>
    <xf numFmtId="0" fontId="9" fillId="0" borderId="2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17" borderId="2" xfId="0" applyFont="1" applyFill="1" applyBorder="1" applyAlignment="1">
      <alignment horizontal="left" vertical="top"/>
    </xf>
    <xf numFmtId="0" fontId="10" fillId="17" borderId="2" xfId="0" applyFont="1" applyFill="1" applyBorder="1" applyAlignment="1">
      <alignment horizontal="left" vertical="top" wrapText="1"/>
    </xf>
    <xf numFmtId="0" fontId="9" fillId="17" borderId="3" xfId="0" applyFont="1" applyFill="1" applyBorder="1" applyAlignment="1">
      <alignment horizontal="left" vertical="top"/>
    </xf>
    <xf numFmtId="0" fontId="10" fillId="17" borderId="3" xfId="0" applyFont="1" applyFill="1" applyBorder="1" applyAlignment="1">
      <alignment horizontal="left" vertical="top" wrapText="1"/>
    </xf>
    <xf numFmtId="0" fontId="9" fillId="17" borderId="4" xfId="0" applyFont="1" applyFill="1" applyBorder="1" applyAlignment="1">
      <alignment horizontal="left" vertical="top"/>
    </xf>
    <xf numFmtId="0" fontId="10" fillId="17" borderId="4" xfId="0" applyFont="1" applyFill="1" applyBorder="1" applyAlignment="1">
      <alignment horizontal="left" vertical="top" wrapText="1"/>
    </xf>
    <xf numFmtId="0" fontId="6" fillId="15" borderId="1" xfId="0" applyFont="1" applyFill="1" applyBorder="1" applyAlignment="1">
      <alignment horizontal="left" vertical="top"/>
    </xf>
    <xf numFmtId="0" fontId="7" fillId="15" borderId="1" xfId="0" applyFont="1" applyFill="1" applyBorder="1" applyAlignment="1">
      <alignment horizontal="left" vertical="top" wrapText="1"/>
    </xf>
    <xf numFmtId="181" fontId="8" fillId="15" borderId="1" xfId="0" applyNumberFormat="1" applyFont="1" applyFill="1" applyBorder="1" applyAlignment="1">
      <alignment horizontal="left" vertical="top"/>
    </xf>
    <xf numFmtId="0" fontId="9" fillId="14" borderId="2" xfId="0" applyFont="1" applyFill="1" applyBorder="1" applyAlignment="1">
      <alignment horizontal="left" vertical="top"/>
    </xf>
    <xf numFmtId="0" fontId="9" fillId="14" borderId="3" xfId="0" applyFont="1" applyFill="1" applyBorder="1" applyAlignment="1">
      <alignment horizontal="left" vertical="top"/>
    </xf>
    <xf numFmtId="0" fontId="4" fillId="11" borderId="1" xfId="0" applyFont="1" applyFill="1" applyBorder="1" applyAlignment="1">
      <alignment horizontal="left" vertical="top"/>
    </xf>
    <xf numFmtId="0" fontId="8" fillId="12" borderId="0" xfId="0" applyFont="1" applyFill="1" applyAlignment="1">
      <alignment horizontal="left" vertical="top"/>
    </xf>
    <xf numFmtId="0" fontId="8" fillId="12" borderId="1" xfId="0" applyFont="1" applyFill="1" applyBorder="1" applyAlignment="1">
      <alignment horizontal="left" vertical="top"/>
    </xf>
    <xf numFmtId="0" fontId="4" fillId="15" borderId="1" xfId="0" applyFont="1" applyFill="1" applyBorder="1" applyAlignment="1">
      <alignment horizontal="left" vertical="top"/>
    </xf>
    <xf numFmtId="181" fontId="1" fillId="5" borderId="0" xfId="0" applyNumberFormat="1" applyFont="1" applyFill="1" applyAlignment="1">
      <alignment horizontal="left" vertical="top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tyles" Target="styles.xml"/><Relationship Id="rId23" Type="http://schemas.openxmlformats.org/officeDocument/2006/relationships/sharedStrings" Target="sharedStrings.xml"/><Relationship Id="rId22" Type="http://schemas.openxmlformats.org/officeDocument/2006/relationships/theme" Target="theme/theme1.xml"/><Relationship Id="rId21" Type="http://schemas.openxmlformats.org/officeDocument/2006/relationships/customXml" Target="../customXml/item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5"/>
  <sheetViews>
    <sheetView topLeftCell="B1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4285714285714" style="3" customWidth="1"/>
    <col min="7" max="7" width="17.4285714285714" style="3" customWidth="1"/>
    <col min="8" max="8" width="17.7142857142857" style="3" customWidth="1"/>
    <col min="9" max="9" width="16.8571428571429" style="3" customWidth="1"/>
    <col min="10" max="10" width="18.1428571428571" style="3" customWidth="1"/>
    <col min="11" max="11" width="17.2857142857143" style="3" customWidth="1"/>
    <col min="12" max="12" width="14.2857142857143" style="3" hidden="1" customWidth="1"/>
    <col min="13" max="13" width="27.1428571428571" style="3" hidden="1" customWidth="1"/>
    <col min="14" max="14" width="25.8571428571429" style="4" customWidth="1"/>
    <col min="15" max="15" width="13.5714285714286" style="1" customWidth="1"/>
    <col min="16" max="16384" width="39" style="8"/>
  </cols>
  <sheetData>
    <row r="1" ht="21" spans="1:14">
      <c r="A1" s="483" t="s">
        <v>0</v>
      </c>
      <c r="B1" s="484" t="s">
        <v>1</v>
      </c>
      <c r="C1" s="484" t="s">
        <v>2</v>
      </c>
      <c r="D1" s="484" t="s">
        <v>3</v>
      </c>
      <c r="E1" s="484" t="s">
        <v>4</v>
      </c>
      <c r="F1" s="484">
        <v>2020</v>
      </c>
      <c r="G1" s="484">
        <v>2021</v>
      </c>
      <c r="H1" s="486">
        <v>2022</v>
      </c>
      <c r="I1" s="485">
        <v>2023</v>
      </c>
      <c r="J1" s="485">
        <v>2024</v>
      </c>
      <c r="K1" s="486">
        <v>2025</v>
      </c>
      <c r="L1" s="485">
        <v>2026</v>
      </c>
      <c r="M1" s="485">
        <v>2027</v>
      </c>
      <c r="N1" s="520" t="s">
        <v>5</v>
      </c>
    </row>
    <row r="2" s="1" customFormat="1" ht="19.5" spans="1:14">
      <c r="A2" s="427" t="s">
        <v>6</v>
      </c>
      <c r="B2" s="487" t="s">
        <v>7</v>
      </c>
      <c r="C2" s="429"/>
      <c r="D2" s="429"/>
      <c r="E2" s="429"/>
      <c r="F2" s="429"/>
      <c r="G2" s="429"/>
      <c r="H2" s="429"/>
      <c r="I2" s="430"/>
      <c r="J2" s="430"/>
      <c r="K2" s="429"/>
      <c r="L2" s="430"/>
      <c r="M2" s="430"/>
      <c r="N2" s="469"/>
    </row>
    <row r="3" s="1" customFormat="1" ht="51" spans="1:14">
      <c r="A3" s="525" t="s">
        <v>8</v>
      </c>
      <c r="B3" s="351" t="s">
        <v>9</v>
      </c>
      <c r="C3" s="352"/>
      <c r="D3" s="352"/>
      <c r="E3" s="353">
        <f>E4</f>
        <v>207201972.15</v>
      </c>
      <c r="F3" s="353">
        <f>F4</f>
        <v>47229562.96</v>
      </c>
      <c r="G3" s="353">
        <f>G4</f>
        <v>43247999.47</v>
      </c>
      <c r="H3" s="353">
        <f>H4</f>
        <v>36821415.13</v>
      </c>
      <c r="I3" s="353">
        <f>I4</f>
        <v>36501422.25</v>
      </c>
      <c r="J3" s="353">
        <f t="shared" ref="J3:M3" si="0">J4</f>
        <v>41101564.51</v>
      </c>
      <c r="K3" s="353">
        <f t="shared" si="0"/>
        <v>1300007.83</v>
      </c>
      <c r="L3" s="353">
        <f t="shared" si="0"/>
        <v>500000</v>
      </c>
      <c r="M3" s="353">
        <f t="shared" si="0"/>
        <v>500000</v>
      </c>
      <c r="N3" s="562" t="s">
        <v>10</v>
      </c>
    </row>
    <row r="4" s="1" customFormat="1" ht="15.75" spans="1:14">
      <c r="A4" s="526" t="s">
        <v>11</v>
      </c>
      <c r="B4" s="527" t="s">
        <v>12</v>
      </c>
      <c r="C4" s="527"/>
      <c r="D4" s="527"/>
      <c r="E4" s="528">
        <f t="shared" ref="E4:E8" si="1">SUM(F4:M4)</f>
        <v>207201972.15</v>
      </c>
      <c r="F4" s="529">
        <f>SUM(F5:F8)</f>
        <v>47229562.96</v>
      </c>
      <c r="G4" s="529">
        <f>SUM(G5:G8)</f>
        <v>43247999.47</v>
      </c>
      <c r="H4" s="529">
        <f t="shared" ref="H4:M4" si="2">SUM(H5:H8)</f>
        <v>36821415.13</v>
      </c>
      <c r="I4" s="529">
        <f t="shared" si="2"/>
        <v>36501422.25</v>
      </c>
      <c r="J4" s="529">
        <f t="shared" si="2"/>
        <v>41101564.51</v>
      </c>
      <c r="K4" s="529">
        <f t="shared" si="2"/>
        <v>1300007.83</v>
      </c>
      <c r="L4" s="529">
        <f t="shared" si="2"/>
        <v>500000</v>
      </c>
      <c r="M4" s="529">
        <f t="shared" si="2"/>
        <v>500000</v>
      </c>
      <c r="N4" s="563" t="s">
        <v>13</v>
      </c>
    </row>
    <row r="5" s="1" customFormat="1" ht="15.75" spans="1:14">
      <c r="A5" s="526"/>
      <c r="B5" s="527"/>
      <c r="C5" s="527"/>
      <c r="D5" s="527"/>
      <c r="E5" s="528">
        <f t="shared" si="1"/>
        <v>187146960.63</v>
      </c>
      <c r="F5" s="358">
        <f>F10+F11+F12</f>
        <v>41884990.12</v>
      </c>
      <c r="G5" s="358">
        <f>G10+G11+G12</f>
        <v>36046471.3</v>
      </c>
      <c r="H5" s="358">
        <f t="shared" ref="H5:M5" si="3">H10+H11+H12</f>
        <v>35104986.83</v>
      </c>
      <c r="I5" s="358">
        <f t="shared" si="3"/>
        <v>35104986.83</v>
      </c>
      <c r="J5" s="358">
        <f t="shared" si="3"/>
        <v>39005525.55</v>
      </c>
      <c r="K5" s="358">
        <f t="shared" si="3"/>
        <v>0</v>
      </c>
      <c r="L5" s="358">
        <f t="shared" si="3"/>
        <v>0</v>
      </c>
      <c r="M5" s="358">
        <f t="shared" si="3"/>
        <v>0</v>
      </c>
      <c r="N5" s="564" t="s">
        <v>14</v>
      </c>
    </row>
    <row r="6" s="1" customFormat="1" ht="15.75" spans="1:14">
      <c r="A6" s="526"/>
      <c r="B6" s="527"/>
      <c r="C6" s="527"/>
      <c r="D6" s="527"/>
      <c r="E6" s="528">
        <f t="shared" si="1"/>
        <v>3819325.81</v>
      </c>
      <c r="F6" s="358">
        <f>F13+F14+F15</f>
        <v>854795.78</v>
      </c>
      <c r="G6" s="358">
        <f t="shared" ref="G6:M6" si="4">G13+G14+G15</f>
        <v>735642.3</v>
      </c>
      <c r="H6" s="358">
        <f t="shared" si="4"/>
        <v>716428.3</v>
      </c>
      <c r="I6" s="358">
        <f t="shared" si="4"/>
        <v>716428.3</v>
      </c>
      <c r="J6" s="358">
        <f t="shared" si="4"/>
        <v>796031.13</v>
      </c>
      <c r="K6" s="358">
        <f t="shared" si="4"/>
        <v>0</v>
      </c>
      <c r="L6" s="358">
        <f t="shared" si="4"/>
        <v>0</v>
      </c>
      <c r="M6" s="358">
        <f t="shared" si="4"/>
        <v>0</v>
      </c>
      <c r="N6" s="564" t="s">
        <v>15</v>
      </c>
    </row>
    <row r="7" s="1" customFormat="1" ht="15.75" spans="1:14">
      <c r="A7" s="526"/>
      <c r="B7" s="527"/>
      <c r="C7" s="527"/>
      <c r="D7" s="527"/>
      <c r="E7" s="528">
        <f t="shared" si="1"/>
        <v>1159637.44</v>
      </c>
      <c r="F7" s="358">
        <f>F16+F17+F18</f>
        <v>214772.8</v>
      </c>
      <c r="G7" s="358">
        <f t="shared" ref="G7:M7" si="5">G16+G17+G18</f>
        <v>184834.74</v>
      </c>
      <c r="H7" s="358">
        <f t="shared" si="5"/>
        <v>180007.12</v>
      </c>
      <c r="I7" s="358">
        <f t="shared" si="5"/>
        <v>180007.12</v>
      </c>
      <c r="J7" s="358">
        <f t="shared" si="5"/>
        <v>200007.83</v>
      </c>
      <c r="K7" s="358">
        <f t="shared" si="5"/>
        <v>200007.83</v>
      </c>
      <c r="L7" s="358">
        <f t="shared" si="5"/>
        <v>0</v>
      </c>
      <c r="M7" s="358">
        <f t="shared" si="5"/>
        <v>0</v>
      </c>
      <c r="N7" s="564" t="s">
        <v>16</v>
      </c>
    </row>
    <row r="8" s="1" customFormat="1" ht="15.75" spans="1:14">
      <c r="A8" s="526"/>
      <c r="B8" s="527"/>
      <c r="C8" s="527"/>
      <c r="D8" s="527"/>
      <c r="E8" s="528">
        <f t="shared" si="1"/>
        <v>15076048.27</v>
      </c>
      <c r="F8" s="358">
        <f>F19+F20+F21+F23+F24+F25+F27+F28+F29</f>
        <v>4275004.26</v>
      </c>
      <c r="G8" s="358">
        <f>G19+G20+G21+G23+G24+G25+G27+G28+G29</f>
        <v>6281051.13</v>
      </c>
      <c r="H8" s="358">
        <f>H19+H20+H22+H26</f>
        <v>819992.88</v>
      </c>
      <c r="I8" s="358">
        <f>I19+I20+I22+I26</f>
        <v>500000</v>
      </c>
      <c r="J8" s="358">
        <f t="shared" ref="J8:M8" si="6">J19+J20+J21+J23+J24+J25+J27+J28+J29</f>
        <v>1100000</v>
      </c>
      <c r="K8" s="358">
        <f t="shared" si="6"/>
        <v>1100000</v>
      </c>
      <c r="L8" s="358">
        <f t="shared" si="6"/>
        <v>500000</v>
      </c>
      <c r="M8" s="358">
        <f t="shared" si="6"/>
        <v>500000</v>
      </c>
      <c r="N8" s="564" t="s">
        <v>17</v>
      </c>
    </row>
    <row r="9" s="1" customFormat="1" spans="1:14">
      <c r="A9" s="43" t="s">
        <v>18</v>
      </c>
      <c r="B9" s="147" t="s">
        <v>19</v>
      </c>
      <c r="C9" s="147"/>
      <c r="D9" s="147"/>
      <c r="E9" s="282">
        <f>E10+E11+E12+E13+E14+E15+E16+E17+E18+E19+E20+E21</f>
        <v>203034764.25</v>
      </c>
      <c r="F9" s="282">
        <f>F10+F11+F12+F13+F14+F15+F16+F17+F18+F19+F20+F21</f>
        <v>45562355.06</v>
      </c>
      <c r="G9" s="282">
        <f>G10+G11+G12+G13+G14+G15+G16+G17+G18+G19+G20+G21</f>
        <v>42847999.47</v>
      </c>
      <c r="H9" s="282">
        <f>H10+H11+H12+H13+H14+H15+H16+H17+H18+H19+H20+H21</f>
        <v>36421415.13</v>
      </c>
      <c r="I9" s="282">
        <f t="shared" ref="I9:M9" si="7">I10+I11+I12+I13+I14+I15+I16+I17+I18+I19+I20+I21</f>
        <v>36001422.25</v>
      </c>
      <c r="J9" s="282">
        <f t="shared" si="7"/>
        <v>40501564.51</v>
      </c>
      <c r="K9" s="282">
        <f t="shared" si="7"/>
        <v>700007.83</v>
      </c>
      <c r="L9" s="282">
        <f t="shared" si="7"/>
        <v>500000</v>
      </c>
      <c r="M9" s="282">
        <f t="shared" si="7"/>
        <v>500000</v>
      </c>
      <c r="N9" s="287" t="s">
        <v>13</v>
      </c>
    </row>
    <row r="10" s="1" customFormat="1" ht="15.75" spans="1:16">
      <c r="A10" s="43"/>
      <c r="B10" s="148"/>
      <c r="C10" s="148"/>
      <c r="D10" s="148"/>
      <c r="E10" s="530">
        <f t="shared" ref="E10:E20" si="8">SUM(F10:M10)</f>
        <v>51231743.97</v>
      </c>
      <c r="F10" s="359">
        <f>595978.5</f>
        <v>595978.5</v>
      </c>
      <c r="G10" s="531">
        <v>0</v>
      </c>
      <c r="H10" s="358">
        <v>15530778.64</v>
      </c>
      <c r="I10" s="358">
        <v>35104986.83</v>
      </c>
      <c r="J10" s="410">
        <v>0</v>
      </c>
      <c r="K10" s="410">
        <v>0</v>
      </c>
      <c r="L10" s="410">
        <v>0</v>
      </c>
      <c r="M10" s="410">
        <v>0</v>
      </c>
      <c r="N10" s="411" t="s">
        <v>20</v>
      </c>
      <c r="P10" s="1">
        <v>35140986.83</v>
      </c>
    </row>
    <row r="11" s="1" customFormat="1" ht="15.75" spans="1:16">
      <c r="A11" s="43"/>
      <c r="B11" s="148"/>
      <c r="C11" s="148"/>
      <c r="D11" s="148"/>
      <c r="E11" s="532">
        <f t="shared" si="8"/>
        <v>99868745.36</v>
      </c>
      <c r="F11" s="361">
        <f>11700000+29589011.62</f>
        <v>41289011.62</v>
      </c>
      <c r="G11" s="361">
        <v>0</v>
      </c>
      <c r="H11" s="361">
        <v>19574208.19</v>
      </c>
      <c r="I11" s="361">
        <v>0</v>
      </c>
      <c r="J11" s="361">
        <v>39005525.55</v>
      </c>
      <c r="K11" s="361">
        <v>0</v>
      </c>
      <c r="L11" s="361">
        <v>0</v>
      </c>
      <c r="M11" s="361">
        <v>0</v>
      </c>
      <c r="N11" s="412" t="s">
        <v>21</v>
      </c>
      <c r="O11" s="1">
        <f>H11+H14+H17+H20</f>
        <v>20494044.97</v>
      </c>
      <c r="P11" s="1">
        <f>P10-I11</f>
        <v>35140986.83</v>
      </c>
    </row>
    <row r="12" s="1" customFormat="1" ht="15.75" spans="1:14">
      <c r="A12" s="43"/>
      <c r="B12" s="148"/>
      <c r="C12" s="148"/>
      <c r="D12" s="148"/>
      <c r="E12" s="243">
        <f t="shared" si="8"/>
        <v>36046471.3</v>
      </c>
      <c r="F12" s="245">
        <v>0</v>
      </c>
      <c r="G12" s="245">
        <v>36046471.3</v>
      </c>
      <c r="H12" s="245">
        <v>0</v>
      </c>
      <c r="I12" s="245"/>
      <c r="J12" s="245">
        <v>0</v>
      </c>
      <c r="K12" s="245">
        <v>0</v>
      </c>
      <c r="L12" s="245">
        <v>0</v>
      </c>
      <c r="M12" s="245">
        <v>0</v>
      </c>
      <c r="N12" s="265" t="s">
        <v>22</v>
      </c>
    </row>
    <row r="13" s="1" customFormat="1" ht="15.75" spans="1:14">
      <c r="A13" s="43"/>
      <c r="B13" s="148"/>
      <c r="C13" s="148"/>
      <c r="D13" s="148"/>
      <c r="E13" s="530">
        <f t="shared" si="8"/>
        <v>1045608.17</v>
      </c>
      <c r="F13" s="359">
        <v>12225.2</v>
      </c>
      <c r="G13" s="359">
        <v>0</v>
      </c>
      <c r="H13" s="359">
        <v>316954.67</v>
      </c>
      <c r="I13" s="359">
        <v>716428.3</v>
      </c>
      <c r="J13" s="359">
        <v>0</v>
      </c>
      <c r="K13" s="359">
        <v>0</v>
      </c>
      <c r="L13" s="359">
        <v>0</v>
      </c>
      <c r="M13" s="359">
        <v>0</v>
      </c>
      <c r="N13" s="411" t="s">
        <v>23</v>
      </c>
    </row>
    <row r="14" s="1" customFormat="1" ht="15.75" spans="1:14">
      <c r="A14" s="43"/>
      <c r="B14" s="148"/>
      <c r="C14" s="148"/>
      <c r="D14" s="148"/>
      <c r="E14" s="532">
        <f t="shared" si="8"/>
        <v>2038075.34</v>
      </c>
      <c r="F14" s="361">
        <f>240000+602570.58</f>
        <v>842570.58</v>
      </c>
      <c r="G14" s="361">
        <v>0</v>
      </c>
      <c r="H14" s="361">
        <v>399473.63</v>
      </c>
      <c r="I14" s="361">
        <v>0</v>
      </c>
      <c r="J14" s="361">
        <v>796031.13</v>
      </c>
      <c r="K14" s="361">
        <v>0</v>
      </c>
      <c r="L14" s="361">
        <v>0</v>
      </c>
      <c r="M14" s="361">
        <v>0</v>
      </c>
      <c r="N14" s="412" t="s">
        <v>24</v>
      </c>
    </row>
    <row r="15" s="1" customFormat="1" ht="15.75" spans="1:14">
      <c r="A15" s="43"/>
      <c r="B15" s="148"/>
      <c r="C15" s="148"/>
      <c r="D15" s="148"/>
      <c r="E15" s="244">
        <f t="shared" si="8"/>
        <v>735642.3</v>
      </c>
      <c r="F15" s="245">
        <v>0</v>
      </c>
      <c r="G15" s="245">
        <v>735642.3</v>
      </c>
      <c r="H15" s="245">
        <v>0</v>
      </c>
      <c r="I15" s="245">
        <v>0</v>
      </c>
      <c r="J15" s="245">
        <v>0</v>
      </c>
      <c r="K15" s="245">
        <v>0</v>
      </c>
      <c r="L15" s="245">
        <v>0</v>
      </c>
      <c r="M15" s="245">
        <v>0</v>
      </c>
      <c r="N15" s="244" t="s">
        <v>25</v>
      </c>
    </row>
    <row r="16" s="1" customFormat="1" ht="15.75" spans="1:14">
      <c r="A16" s="43"/>
      <c r="B16" s="148"/>
      <c r="C16" s="148"/>
      <c r="D16" s="148"/>
      <c r="E16" s="533">
        <f t="shared" si="8"/>
        <v>262700.27</v>
      </c>
      <c r="F16" s="359">
        <v>3056.3</v>
      </c>
      <c r="G16" s="359">
        <v>0</v>
      </c>
      <c r="H16" s="359">
        <v>79636.85</v>
      </c>
      <c r="I16" s="359">
        <v>180007.12</v>
      </c>
      <c r="J16" s="359">
        <v>0</v>
      </c>
      <c r="K16" s="359">
        <v>0</v>
      </c>
      <c r="L16" s="359">
        <v>0</v>
      </c>
      <c r="M16" s="359">
        <v>0</v>
      </c>
      <c r="N16" s="411" t="s">
        <v>26</v>
      </c>
    </row>
    <row r="17" s="1" customFormat="1" ht="15.75" spans="1:14">
      <c r="A17" s="43"/>
      <c r="B17" s="148"/>
      <c r="C17" s="148"/>
      <c r="D17" s="148"/>
      <c r="E17" s="532">
        <f t="shared" si="8"/>
        <v>712102.43</v>
      </c>
      <c r="F17" s="361">
        <v>211716.5</v>
      </c>
      <c r="G17" s="361">
        <v>0</v>
      </c>
      <c r="H17" s="361">
        <v>100370.27</v>
      </c>
      <c r="I17" s="361">
        <v>0</v>
      </c>
      <c r="J17" s="361">
        <v>200007.83</v>
      </c>
      <c r="K17" s="361">
        <v>200007.83</v>
      </c>
      <c r="L17" s="361">
        <v>0</v>
      </c>
      <c r="M17" s="361">
        <v>0</v>
      </c>
      <c r="N17" s="412" t="s">
        <v>27</v>
      </c>
    </row>
    <row r="18" s="1" customFormat="1" ht="15.75" spans="1:14">
      <c r="A18" s="43"/>
      <c r="B18" s="148"/>
      <c r="C18" s="148"/>
      <c r="D18" s="148"/>
      <c r="E18" s="244">
        <f t="shared" si="8"/>
        <v>184834.74</v>
      </c>
      <c r="F18" s="245">
        <v>0</v>
      </c>
      <c r="G18" s="245">
        <v>184834.74</v>
      </c>
      <c r="H18" s="245">
        <v>0</v>
      </c>
      <c r="I18" s="245">
        <v>0</v>
      </c>
      <c r="J18" s="245">
        <v>0</v>
      </c>
      <c r="K18" s="245">
        <v>0</v>
      </c>
      <c r="L18" s="245">
        <v>0</v>
      </c>
      <c r="M18" s="245">
        <v>0</v>
      </c>
      <c r="N18" s="244" t="s">
        <v>28</v>
      </c>
    </row>
    <row r="19" s="1" customFormat="1" ht="15.75" spans="1:14">
      <c r="A19" s="43"/>
      <c r="B19" s="148"/>
      <c r="C19" s="148"/>
      <c r="D19" s="148"/>
      <c r="E19" s="533">
        <f t="shared" si="8"/>
        <v>0</v>
      </c>
      <c r="F19" s="359">
        <v>0</v>
      </c>
      <c r="G19" s="359">
        <v>0</v>
      </c>
      <c r="H19" s="359">
        <v>0</v>
      </c>
      <c r="I19" s="359">
        <v>0</v>
      </c>
      <c r="J19" s="359">
        <v>0</v>
      </c>
      <c r="K19" s="359">
        <v>0</v>
      </c>
      <c r="L19" s="359">
        <v>0</v>
      </c>
      <c r="M19" s="359">
        <v>0</v>
      </c>
      <c r="N19" s="411" t="s">
        <v>29</v>
      </c>
    </row>
    <row r="20" ht="15.75" spans="1:14">
      <c r="A20" s="43"/>
      <c r="B20" s="148"/>
      <c r="C20" s="148"/>
      <c r="D20" s="148"/>
      <c r="E20" s="534">
        <f t="shared" si="8"/>
        <v>5027789.24</v>
      </c>
      <c r="F20" s="361">
        <v>2607796.36</v>
      </c>
      <c r="G20" s="361">
        <v>0</v>
      </c>
      <c r="H20" s="361">
        <f>419289.6+703.28</f>
        <v>419992.88</v>
      </c>
      <c r="I20" s="359">
        <v>0</v>
      </c>
      <c r="J20" s="359">
        <v>500000</v>
      </c>
      <c r="K20" s="359">
        <v>500000</v>
      </c>
      <c r="L20" s="359">
        <v>500000</v>
      </c>
      <c r="M20" s="359">
        <v>500000</v>
      </c>
      <c r="N20" s="412" t="s">
        <v>30</v>
      </c>
    </row>
    <row r="21" ht="15.75" spans="1:15">
      <c r="A21" s="43"/>
      <c r="B21" s="149"/>
      <c r="C21" s="149"/>
      <c r="D21" s="149"/>
      <c r="E21" s="244">
        <f>F21+G21+H21+I21+J21+K21+L21+M21</f>
        <v>5881051.13</v>
      </c>
      <c r="F21" s="245">
        <v>0</v>
      </c>
      <c r="G21" s="245">
        <f>415165.26+1683927+O21</f>
        <v>5881051.13</v>
      </c>
      <c r="H21" s="245"/>
      <c r="I21" s="245">
        <v>0</v>
      </c>
      <c r="J21" s="245">
        <v>0</v>
      </c>
      <c r="K21" s="245">
        <v>0</v>
      </c>
      <c r="L21" s="245">
        <v>0</v>
      </c>
      <c r="M21" s="245">
        <v>0</v>
      </c>
      <c r="N21" s="244" t="s">
        <v>31</v>
      </c>
      <c r="O21" s="1">
        <f>2200000+1581958.87</f>
        <v>3781958.87</v>
      </c>
    </row>
    <row r="22" ht="23.25" customHeight="1" spans="1:14">
      <c r="A22" s="535" t="s">
        <v>32</v>
      </c>
      <c r="B22" s="147" t="s">
        <v>33</v>
      </c>
      <c r="C22" s="147"/>
      <c r="D22" s="147"/>
      <c r="E22" s="280">
        <f>E23+E24+E25</f>
        <v>3276100</v>
      </c>
      <c r="F22" s="280">
        <f>F23+F24+F25</f>
        <v>1176100</v>
      </c>
      <c r="G22" s="280">
        <f>G23+G24+G25</f>
        <v>200000</v>
      </c>
      <c r="H22" s="280">
        <f>H23+H24+H25</f>
        <v>200000</v>
      </c>
      <c r="I22" s="280">
        <f t="shared" ref="I22:M22" si="9">I23+I24+I25</f>
        <v>500000</v>
      </c>
      <c r="J22" s="280">
        <f t="shared" si="9"/>
        <v>600000</v>
      </c>
      <c r="K22" s="280">
        <f t="shared" si="9"/>
        <v>600000</v>
      </c>
      <c r="L22" s="280">
        <f t="shared" si="9"/>
        <v>0</v>
      </c>
      <c r="M22" s="280">
        <f t="shared" si="9"/>
        <v>0</v>
      </c>
      <c r="N22" s="280" t="s">
        <v>10</v>
      </c>
    </row>
    <row r="23" ht="15.75" spans="1:14">
      <c r="A23" s="536"/>
      <c r="B23" s="148"/>
      <c r="C23" s="148"/>
      <c r="D23" s="148"/>
      <c r="E23" s="530">
        <f t="shared" ref="E23:E29" si="10">SUM(F23:M23)</f>
        <v>524500</v>
      </c>
      <c r="F23" s="359">
        <v>24500</v>
      </c>
      <c r="G23" s="359">
        <v>0</v>
      </c>
      <c r="H23" s="359">
        <v>0</v>
      </c>
      <c r="I23" s="359">
        <f>400000+100000</f>
        <v>500000</v>
      </c>
      <c r="J23" s="359">
        <v>0</v>
      </c>
      <c r="K23" s="359">
        <v>0</v>
      </c>
      <c r="L23" s="359">
        <v>0</v>
      </c>
      <c r="M23" s="359">
        <v>0</v>
      </c>
      <c r="N23" s="411" t="s">
        <v>29</v>
      </c>
    </row>
    <row r="24" ht="23.25" customHeight="1" spans="1:14">
      <c r="A24" s="536"/>
      <c r="B24" s="148"/>
      <c r="C24" s="148"/>
      <c r="D24" s="148"/>
      <c r="E24" s="532">
        <f t="shared" si="10"/>
        <v>1951600</v>
      </c>
      <c r="F24" s="361">
        <v>551600</v>
      </c>
      <c r="G24" s="361">
        <v>0</v>
      </c>
      <c r="H24" s="361">
        <v>200000</v>
      </c>
      <c r="I24" s="359">
        <v>0</v>
      </c>
      <c r="J24" s="359">
        <v>600000</v>
      </c>
      <c r="K24" s="359">
        <v>600000</v>
      </c>
      <c r="L24" s="361">
        <v>0</v>
      </c>
      <c r="M24" s="361">
        <v>0</v>
      </c>
      <c r="N24" s="412" t="s">
        <v>30</v>
      </c>
    </row>
    <row r="25" ht="23.25" customHeight="1" spans="1:14">
      <c r="A25" s="537"/>
      <c r="B25" s="149"/>
      <c r="C25" s="149"/>
      <c r="D25" s="149"/>
      <c r="E25" s="244">
        <f t="shared" si="10"/>
        <v>800000</v>
      </c>
      <c r="F25" s="245">
        <v>600000</v>
      </c>
      <c r="G25" s="245">
        <v>200000</v>
      </c>
      <c r="H25" s="245">
        <v>0</v>
      </c>
      <c r="I25" s="245">
        <v>0</v>
      </c>
      <c r="J25" s="245">
        <v>0</v>
      </c>
      <c r="K25" s="245">
        <v>0</v>
      </c>
      <c r="L25" s="245">
        <v>0</v>
      </c>
      <c r="M25" s="245">
        <v>0</v>
      </c>
      <c r="N25" s="244" t="s">
        <v>31</v>
      </c>
    </row>
    <row r="26" ht="15.75" spans="1:14">
      <c r="A26" s="535" t="s">
        <v>34</v>
      </c>
      <c r="B26" s="538" t="s">
        <v>35</v>
      </c>
      <c r="C26" s="538"/>
      <c r="D26" s="538"/>
      <c r="E26" s="280">
        <f>E27+E28+E29</f>
        <v>891107.9</v>
      </c>
      <c r="F26" s="280">
        <f>F27+F28+F29</f>
        <v>491107.9</v>
      </c>
      <c r="G26" s="280">
        <f>G27+G28+G29</f>
        <v>200000</v>
      </c>
      <c r="H26" s="280">
        <f>H27+H28+H29</f>
        <v>200000</v>
      </c>
      <c r="I26" s="280">
        <f>I27+I28+I29</f>
        <v>0</v>
      </c>
      <c r="J26" s="280">
        <f t="shared" ref="J26:M26" si="11">J27+J28+J29</f>
        <v>0</v>
      </c>
      <c r="K26" s="280">
        <f t="shared" si="11"/>
        <v>0</v>
      </c>
      <c r="L26" s="280">
        <f t="shared" si="11"/>
        <v>0</v>
      </c>
      <c r="M26" s="280">
        <f t="shared" si="11"/>
        <v>0</v>
      </c>
      <c r="N26" s="280" t="s">
        <v>10</v>
      </c>
    </row>
    <row r="27" ht="15.75" spans="1:14">
      <c r="A27" s="536"/>
      <c r="B27" s="539"/>
      <c r="C27" s="539"/>
      <c r="D27" s="539"/>
      <c r="E27" s="533">
        <f t="shared" si="10"/>
        <v>200000</v>
      </c>
      <c r="F27" s="359">
        <v>0</v>
      </c>
      <c r="G27" s="359">
        <v>0</v>
      </c>
      <c r="H27" s="359">
        <v>200000</v>
      </c>
      <c r="I27" s="359">
        <v>0</v>
      </c>
      <c r="J27" s="359">
        <v>0</v>
      </c>
      <c r="K27" s="359">
        <v>0</v>
      </c>
      <c r="L27" s="359">
        <v>0</v>
      </c>
      <c r="M27" s="359">
        <v>0</v>
      </c>
      <c r="N27" s="411" t="s">
        <v>29</v>
      </c>
    </row>
    <row r="28" ht="15.75" spans="1:14">
      <c r="A28" s="536"/>
      <c r="B28" s="539"/>
      <c r="C28" s="539"/>
      <c r="D28" s="539"/>
      <c r="E28" s="534">
        <f t="shared" si="10"/>
        <v>491107.9</v>
      </c>
      <c r="F28" s="361">
        <v>491107.9</v>
      </c>
      <c r="G28" s="361">
        <v>0</v>
      </c>
      <c r="H28" s="361">
        <v>0</v>
      </c>
      <c r="I28" s="359">
        <v>0</v>
      </c>
      <c r="J28" s="359">
        <v>0</v>
      </c>
      <c r="K28" s="359">
        <v>0</v>
      </c>
      <c r="L28" s="361">
        <v>0</v>
      </c>
      <c r="M28" s="361">
        <v>0</v>
      </c>
      <c r="N28" s="412" t="s">
        <v>30</v>
      </c>
    </row>
    <row r="29" ht="15.75" spans="1:14">
      <c r="A29" s="537"/>
      <c r="B29" s="540"/>
      <c r="C29" s="540"/>
      <c r="D29" s="540"/>
      <c r="E29" s="244">
        <f t="shared" si="10"/>
        <v>200000</v>
      </c>
      <c r="F29" s="245">
        <v>0</v>
      </c>
      <c r="G29" s="245">
        <v>200000</v>
      </c>
      <c r="H29" s="245">
        <v>0</v>
      </c>
      <c r="I29" s="245">
        <v>0</v>
      </c>
      <c r="J29" s="245">
        <v>0</v>
      </c>
      <c r="K29" s="245">
        <v>0</v>
      </c>
      <c r="L29" s="245">
        <v>0</v>
      </c>
      <c r="M29" s="245">
        <v>0</v>
      </c>
      <c r="N29" s="244" t="s">
        <v>31</v>
      </c>
    </row>
    <row r="30" ht="18.75" spans="1:14">
      <c r="A30" s="315" t="s">
        <v>36</v>
      </c>
      <c r="B30" s="367" t="s">
        <v>37</v>
      </c>
      <c r="C30" s="367"/>
      <c r="D30" s="367"/>
      <c r="E30" s="367"/>
      <c r="F30" s="367"/>
      <c r="G30" s="367"/>
      <c r="H30" s="367"/>
      <c r="I30" s="367"/>
      <c r="J30" s="367"/>
      <c r="K30" s="367"/>
      <c r="L30" s="367"/>
      <c r="M30" s="367"/>
      <c r="N30" s="367"/>
    </row>
    <row r="31" ht="17.25" customHeight="1" spans="1:14">
      <c r="A31" s="541" t="s">
        <v>38</v>
      </c>
      <c r="B31" s="542" t="s">
        <v>39</v>
      </c>
      <c r="C31" s="370"/>
      <c r="D31" s="370"/>
      <c r="E31" s="371">
        <f>E36+E48</f>
        <v>505089204.56</v>
      </c>
      <c r="F31" s="371">
        <f>F36+F48</f>
        <v>96123382.74</v>
      </c>
      <c r="G31" s="371">
        <f>G36+G48</f>
        <v>38911594.91</v>
      </c>
      <c r="H31" s="371">
        <f>H36+H48</f>
        <v>221108739.81</v>
      </c>
      <c r="I31" s="371">
        <f>I36+I48</f>
        <v>74082505.96</v>
      </c>
      <c r="J31" s="371">
        <f t="shared" ref="J31:M31" si="12">J36+J48</f>
        <v>72682505.96</v>
      </c>
      <c r="K31" s="371">
        <f t="shared" si="12"/>
        <v>2180475.18</v>
      </c>
      <c r="L31" s="371">
        <f t="shared" si="12"/>
        <v>0</v>
      </c>
      <c r="M31" s="371">
        <f t="shared" si="12"/>
        <v>0</v>
      </c>
      <c r="N31" s="39" t="s">
        <v>10</v>
      </c>
    </row>
    <row r="32" ht="16.5" customHeight="1" spans="1:14">
      <c r="A32" s="543"/>
      <c r="B32" s="544"/>
      <c r="C32" s="370"/>
      <c r="D32" s="370"/>
      <c r="E32" s="371">
        <f>E49</f>
        <v>170480658.92</v>
      </c>
      <c r="F32" s="371">
        <v>0</v>
      </c>
      <c r="G32" s="371">
        <v>0</v>
      </c>
      <c r="H32" s="371">
        <f>H49</f>
        <v>170480658.92</v>
      </c>
      <c r="I32" s="371">
        <f>I49</f>
        <v>0</v>
      </c>
      <c r="J32" s="371">
        <f t="shared" ref="J32:M32" si="13">J49</f>
        <v>0</v>
      </c>
      <c r="K32" s="371">
        <f t="shared" si="13"/>
        <v>0</v>
      </c>
      <c r="L32" s="371">
        <f t="shared" si="13"/>
        <v>0</v>
      </c>
      <c r="M32" s="371">
        <f t="shared" si="13"/>
        <v>0</v>
      </c>
      <c r="N32" s="371" t="s">
        <v>14</v>
      </c>
    </row>
    <row r="33" ht="15.75" spans="1:14">
      <c r="A33" s="543"/>
      <c r="B33" s="544"/>
      <c r="C33" s="374"/>
      <c r="D33" s="374"/>
      <c r="E33" s="371">
        <f>E37</f>
        <v>283631470.33</v>
      </c>
      <c r="F33" s="371">
        <f t="shared" ref="F33:G35" si="14">F37+F49</f>
        <v>70238713.4</v>
      </c>
      <c r="G33" s="371">
        <f t="shared" si="14"/>
        <v>35085778</v>
      </c>
      <c r="H33" s="371">
        <f>H37</f>
        <v>37302917.37</v>
      </c>
      <c r="I33" s="371">
        <f t="shared" ref="I33:I35" si="15">I37+I49</f>
        <v>70502030.78</v>
      </c>
      <c r="J33" s="371">
        <f t="shared" ref="J33:M35" si="16">J37+J49</f>
        <v>70502030.78</v>
      </c>
      <c r="K33" s="371">
        <f t="shared" si="16"/>
        <v>0</v>
      </c>
      <c r="L33" s="371">
        <f t="shared" si="16"/>
        <v>0</v>
      </c>
      <c r="M33" s="235">
        <f t="shared" si="16"/>
        <v>0</v>
      </c>
      <c r="N33" s="261" t="s">
        <v>15</v>
      </c>
    </row>
    <row r="34" spans="1:14">
      <c r="A34" s="543"/>
      <c r="B34" s="544"/>
      <c r="C34" s="374"/>
      <c r="D34" s="374"/>
      <c r="E34" s="371">
        <f t="shared" ref="E34:E35" si="17">E38+E50</f>
        <v>12674609.39</v>
      </c>
      <c r="F34" s="371">
        <f t="shared" si="14"/>
        <v>2172331.35</v>
      </c>
      <c r="G34" s="371">
        <f t="shared" si="14"/>
        <v>1085127.16</v>
      </c>
      <c r="H34" s="371">
        <f t="shared" ref="H34:H35" si="18">H38+H50</f>
        <v>2875725.34</v>
      </c>
      <c r="I34" s="371">
        <f t="shared" si="15"/>
        <v>2180475.18</v>
      </c>
      <c r="J34" s="371">
        <f t="shared" si="16"/>
        <v>2180475.18</v>
      </c>
      <c r="K34" s="371">
        <f t="shared" si="16"/>
        <v>2180475.18</v>
      </c>
      <c r="L34" s="371">
        <f t="shared" si="16"/>
        <v>0</v>
      </c>
      <c r="M34" s="371">
        <f t="shared" si="16"/>
        <v>0</v>
      </c>
      <c r="N34" s="261" t="s">
        <v>16</v>
      </c>
    </row>
    <row r="35" spans="1:14">
      <c r="A35" s="545"/>
      <c r="B35" s="546"/>
      <c r="C35" s="374"/>
      <c r="D35" s="374"/>
      <c r="E35" s="371">
        <f t="shared" si="17"/>
        <v>38302465.92</v>
      </c>
      <c r="F35" s="371">
        <f t="shared" si="14"/>
        <v>23712337.99</v>
      </c>
      <c r="G35" s="371">
        <f t="shared" si="14"/>
        <v>2740689.75</v>
      </c>
      <c r="H35" s="371">
        <f t="shared" si="18"/>
        <v>10449438.18</v>
      </c>
      <c r="I35" s="371">
        <f t="shared" si="15"/>
        <v>1400000</v>
      </c>
      <c r="J35" s="371">
        <f t="shared" si="16"/>
        <v>0</v>
      </c>
      <c r="K35" s="371">
        <f t="shared" si="16"/>
        <v>0</v>
      </c>
      <c r="L35" s="371">
        <f t="shared" si="16"/>
        <v>0</v>
      </c>
      <c r="M35" s="371">
        <f t="shared" si="16"/>
        <v>0</v>
      </c>
      <c r="N35" s="261" t="s">
        <v>17</v>
      </c>
    </row>
    <row r="36" ht="15.75" spans="1:14">
      <c r="A36" s="547" t="s">
        <v>40</v>
      </c>
      <c r="B36" s="378" t="s">
        <v>41</v>
      </c>
      <c r="C36" s="378"/>
      <c r="D36" s="378"/>
      <c r="E36" s="379">
        <f t="shared" ref="E36:E55" si="19">F36+G36+H36+I36+J36+K36+L36+M36</f>
        <v>332034268.78</v>
      </c>
      <c r="F36" s="379">
        <f>SUM(F37:F39)</f>
        <v>96123382.74</v>
      </c>
      <c r="G36" s="379">
        <f t="shared" ref="G36:M36" si="20">SUM(G37:G39)</f>
        <v>38911594.91</v>
      </c>
      <c r="H36" s="379">
        <f t="shared" si="20"/>
        <v>48053804.03</v>
      </c>
      <c r="I36" s="379">
        <f t="shared" si="20"/>
        <v>74082505.96</v>
      </c>
      <c r="J36" s="379">
        <f t="shared" si="20"/>
        <v>72682505.96</v>
      </c>
      <c r="K36" s="379">
        <f t="shared" si="20"/>
        <v>2180475.18</v>
      </c>
      <c r="L36" s="379">
        <f t="shared" si="20"/>
        <v>0</v>
      </c>
      <c r="M36" s="379">
        <f t="shared" si="20"/>
        <v>0</v>
      </c>
      <c r="N36" s="414" t="s">
        <v>10</v>
      </c>
    </row>
    <row r="37" ht="15.75" spans="1:14">
      <c r="A37" s="548"/>
      <c r="B37" s="378"/>
      <c r="C37" s="378"/>
      <c r="D37" s="378"/>
      <c r="E37" s="379">
        <f t="shared" si="19"/>
        <v>283631470.33</v>
      </c>
      <c r="F37" s="381">
        <f>F41</f>
        <v>70238713.4</v>
      </c>
      <c r="G37" s="381">
        <f t="shared" ref="G37:M37" si="21">G41</f>
        <v>35085778</v>
      </c>
      <c r="H37" s="381">
        <f>H41+H42</f>
        <v>37302917.37</v>
      </c>
      <c r="I37" s="381">
        <f>I41+I42</f>
        <v>70502030.78</v>
      </c>
      <c r="J37" s="381">
        <f t="shared" si="21"/>
        <v>70502030.78</v>
      </c>
      <c r="K37" s="381">
        <v>0</v>
      </c>
      <c r="L37" s="381">
        <f t="shared" si="21"/>
        <v>0</v>
      </c>
      <c r="M37" s="381">
        <f t="shared" si="21"/>
        <v>0</v>
      </c>
      <c r="N37" s="414" t="s">
        <v>15</v>
      </c>
    </row>
    <row r="38" ht="15.75" spans="1:14">
      <c r="A38" s="548"/>
      <c r="B38" s="378"/>
      <c r="C38" s="378"/>
      <c r="D38" s="378"/>
      <c r="E38" s="379">
        <f t="shared" si="19"/>
        <v>10952582.53</v>
      </c>
      <c r="F38" s="381">
        <f t="shared" ref="F38:M38" si="22">F43</f>
        <v>2172331.35</v>
      </c>
      <c r="G38" s="381">
        <f t="shared" si="22"/>
        <v>1085127.16</v>
      </c>
      <c r="H38" s="381">
        <f>H43+H44</f>
        <v>1153698.48</v>
      </c>
      <c r="I38" s="381">
        <f>I43+I44</f>
        <v>2180475.18</v>
      </c>
      <c r="J38" s="381">
        <f t="shared" si="22"/>
        <v>2180475.18</v>
      </c>
      <c r="K38" s="381">
        <f t="shared" si="22"/>
        <v>2180475.18</v>
      </c>
      <c r="L38" s="381">
        <f t="shared" si="22"/>
        <v>0</v>
      </c>
      <c r="M38" s="381">
        <f t="shared" si="22"/>
        <v>0</v>
      </c>
      <c r="N38" s="414" t="s">
        <v>16</v>
      </c>
    </row>
    <row r="39" ht="15.75" spans="1:14">
      <c r="A39" s="548"/>
      <c r="B39" s="378"/>
      <c r="C39" s="378"/>
      <c r="D39" s="378"/>
      <c r="E39" s="379">
        <f t="shared" si="19"/>
        <v>37450215.92</v>
      </c>
      <c r="F39" s="381">
        <f>F45+F46</f>
        <v>23712337.99</v>
      </c>
      <c r="G39" s="381">
        <f t="shared" ref="G39:M39" si="23">G45+G46</f>
        <v>2740689.75</v>
      </c>
      <c r="H39" s="381">
        <f>H45+H46+H47</f>
        <v>9597188.18</v>
      </c>
      <c r="I39" s="381">
        <f>I45+I46+I47</f>
        <v>1400000</v>
      </c>
      <c r="J39" s="381">
        <f t="shared" si="23"/>
        <v>0</v>
      </c>
      <c r="K39" s="381">
        <f t="shared" si="23"/>
        <v>0</v>
      </c>
      <c r="L39" s="381">
        <f t="shared" si="23"/>
        <v>0</v>
      </c>
      <c r="M39" s="381">
        <f t="shared" si="23"/>
        <v>0</v>
      </c>
      <c r="N39" s="414" t="s">
        <v>17</v>
      </c>
    </row>
    <row r="40" ht="15.75" spans="1:14">
      <c r="A40" s="535" t="s">
        <v>42</v>
      </c>
      <c r="B40" s="27" t="s">
        <v>43</v>
      </c>
      <c r="C40" s="27"/>
      <c r="D40" s="27"/>
      <c r="E40" s="379">
        <f t="shared" si="19"/>
        <v>398766393.84</v>
      </c>
      <c r="F40" s="26">
        <f>SUM(F41:F45)</f>
        <v>95565882.74</v>
      </c>
      <c r="G40" s="26">
        <f t="shared" ref="G40:M40" si="24">SUM(G41:G45)</f>
        <v>38231594.91</v>
      </c>
      <c r="H40" s="26">
        <f t="shared" si="24"/>
        <v>46921398.31</v>
      </c>
      <c r="I40" s="26">
        <f t="shared" si="24"/>
        <v>72682505.96</v>
      </c>
      <c r="J40" s="26">
        <f t="shared" si="24"/>
        <v>72682505.96</v>
      </c>
      <c r="K40" s="26">
        <f t="shared" si="24"/>
        <v>72682505.96</v>
      </c>
      <c r="L40" s="26">
        <f t="shared" si="24"/>
        <v>0</v>
      </c>
      <c r="M40" s="26">
        <f t="shared" si="24"/>
        <v>0</v>
      </c>
      <c r="N40" s="64" t="s">
        <v>10</v>
      </c>
    </row>
    <row r="41" ht="15.75" spans="1:16">
      <c r="A41" s="536"/>
      <c r="B41" s="27"/>
      <c r="C41" s="27"/>
      <c r="D41" s="27"/>
      <c r="E41" s="379">
        <f t="shared" si="19"/>
        <v>272378611.89</v>
      </c>
      <c r="F41" s="28">
        <v>70238713.4</v>
      </c>
      <c r="G41" s="28">
        <v>35085778</v>
      </c>
      <c r="H41" s="28">
        <v>9350058.93</v>
      </c>
      <c r="I41" s="28">
        <v>16700000</v>
      </c>
      <c r="J41" s="28">
        <v>70502030.78</v>
      </c>
      <c r="K41" s="28">
        <v>70502030.78</v>
      </c>
      <c r="L41" s="28">
        <v>0</v>
      </c>
      <c r="M41" s="28">
        <v>0</v>
      </c>
      <c r="N41" s="64" t="s">
        <v>23</v>
      </c>
      <c r="P41" s="28"/>
    </row>
    <row r="42" ht="15.75" spans="1:16">
      <c r="A42" s="536"/>
      <c r="B42" s="27"/>
      <c r="C42" s="27"/>
      <c r="D42" s="27"/>
      <c r="E42" s="379">
        <f t="shared" si="19"/>
        <v>81754889.22</v>
      </c>
      <c r="F42" s="28">
        <v>0</v>
      </c>
      <c r="G42" s="28">
        <v>0</v>
      </c>
      <c r="H42" s="28">
        <f>28395670.58-442812.14</f>
        <v>27952858.44</v>
      </c>
      <c r="I42" s="28">
        <v>53802030.78</v>
      </c>
      <c r="J42" s="28">
        <v>0</v>
      </c>
      <c r="K42" s="28">
        <v>0</v>
      </c>
      <c r="L42" s="28">
        <v>0</v>
      </c>
      <c r="M42" s="28">
        <v>0</v>
      </c>
      <c r="N42" s="64" t="s">
        <v>24</v>
      </c>
      <c r="P42" s="94"/>
    </row>
    <row r="43" ht="15.75" spans="1:14">
      <c r="A43" s="536"/>
      <c r="B43" s="27"/>
      <c r="C43" s="27"/>
      <c r="D43" s="27"/>
      <c r="E43" s="379">
        <f t="shared" si="19"/>
        <v>8424140.52</v>
      </c>
      <c r="F43" s="28">
        <v>2172331.35</v>
      </c>
      <c r="G43" s="28">
        <f>1085127.16</f>
        <v>1085127.16</v>
      </c>
      <c r="H43" s="28">
        <v>289177.08</v>
      </c>
      <c r="I43" s="28">
        <v>516554.57</v>
      </c>
      <c r="J43" s="28">
        <f>1000000+1180475.18</f>
        <v>2180475.18</v>
      </c>
      <c r="K43" s="28">
        <f>1000000+1180475.18</f>
        <v>2180475.18</v>
      </c>
      <c r="L43" s="28">
        <v>0</v>
      </c>
      <c r="M43" s="28">
        <v>0</v>
      </c>
      <c r="N43" s="64" t="s">
        <v>44</v>
      </c>
    </row>
    <row r="44" ht="15.75" spans="1:14">
      <c r="A44" s="536"/>
      <c r="B44" s="27"/>
      <c r="C44" s="27"/>
      <c r="D44" s="27"/>
      <c r="E44" s="379">
        <f t="shared" si="19"/>
        <v>2528442.01</v>
      </c>
      <c r="F44" s="28">
        <v>0</v>
      </c>
      <c r="G44" s="28">
        <v>0</v>
      </c>
      <c r="H44" s="28">
        <f>878216.62-13695.22</f>
        <v>864521.4</v>
      </c>
      <c r="I44" s="28">
        <v>1663920.61</v>
      </c>
      <c r="J44" s="28">
        <v>0</v>
      </c>
      <c r="K44" s="28">
        <v>0</v>
      </c>
      <c r="L44" s="28">
        <v>0</v>
      </c>
      <c r="M44" s="28">
        <v>0</v>
      </c>
      <c r="N44" s="64" t="s">
        <v>45</v>
      </c>
    </row>
    <row r="45" ht="15.75" spans="1:14">
      <c r="A45" s="536"/>
      <c r="B45" s="27"/>
      <c r="C45" s="27"/>
      <c r="D45" s="27"/>
      <c r="E45" s="379">
        <f t="shared" si="19"/>
        <v>33680310.2</v>
      </c>
      <c r="F45" s="28">
        <f>25175187.38-F46-1462849.39</f>
        <v>23154837.99</v>
      </c>
      <c r="G45" s="28">
        <f>2114872.85-1683927+1629743.9</f>
        <v>2060689.75</v>
      </c>
      <c r="H45" s="28">
        <f>1722026.86+6742755.6</f>
        <v>8464782.46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64" t="s">
        <v>29</v>
      </c>
    </row>
    <row r="46" ht="19.5" customHeight="1" spans="1:15">
      <c r="A46" s="549" t="s">
        <v>46</v>
      </c>
      <c r="B46" s="147" t="s">
        <v>47</v>
      </c>
      <c r="C46" s="27"/>
      <c r="D46" s="27"/>
      <c r="E46" s="379">
        <f t="shared" si="19"/>
        <v>2726405.72</v>
      </c>
      <c r="F46" s="28">
        <f>500000+57500</f>
        <v>557500</v>
      </c>
      <c r="G46" s="28">
        <v>680000</v>
      </c>
      <c r="H46" s="450">
        <f>(130000+305287.88+164712.12+280774.66+736106.4)-527975.34</f>
        <v>1088905.72</v>
      </c>
      <c r="I46" s="28">
        <f>350000+50000</f>
        <v>400000</v>
      </c>
      <c r="J46" s="28">
        <v>0</v>
      </c>
      <c r="K46" s="28">
        <v>0</v>
      </c>
      <c r="L46" s="28">
        <v>0</v>
      </c>
      <c r="M46" s="28">
        <v>0</v>
      </c>
      <c r="N46" s="64" t="s">
        <v>29</v>
      </c>
      <c r="O46" s="1">
        <v>80000</v>
      </c>
    </row>
    <row r="47" ht="19.5" customHeight="1" spans="1:14">
      <c r="A47" s="550"/>
      <c r="B47" s="149"/>
      <c r="C47" s="27"/>
      <c r="D47" s="27"/>
      <c r="E47" s="379">
        <f t="shared" si="19"/>
        <v>1043500</v>
      </c>
      <c r="F47" s="28">
        <v>0</v>
      </c>
      <c r="G47" s="28">
        <v>0</v>
      </c>
      <c r="H47" s="450">
        <f>43500</f>
        <v>43500</v>
      </c>
      <c r="I47" s="28">
        <f>350000+650000</f>
        <v>1000000</v>
      </c>
      <c r="J47" s="28">
        <v>0</v>
      </c>
      <c r="K47" s="28">
        <v>0</v>
      </c>
      <c r="L47" s="28">
        <v>0</v>
      </c>
      <c r="M47" s="28">
        <v>0</v>
      </c>
      <c r="N47" s="64" t="s">
        <v>30</v>
      </c>
    </row>
    <row r="48" ht="15.75" customHeight="1" spans="1:14">
      <c r="A48" s="551" t="s">
        <v>48</v>
      </c>
      <c r="B48" s="552" t="s">
        <v>49</v>
      </c>
      <c r="C48" s="383"/>
      <c r="D48" s="383"/>
      <c r="E48" s="384">
        <f t="shared" si="19"/>
        <v>173054935.78</v>
      </c>
      <c r="F48" s="384">
        <f>SUM(F49:F51)</f>
        <v>0</v>
      </c>
      <c r="G48" s="384">
        <f>SUM(G49:G51)</f>
        <v>0</v>
      </c>
      <c r="H48" s="384">
        <f>SUM(H49:H51)</f>
        <v>173054935.78</v>
      </c>
      <c r="I48" s="384">
        <f t="shared" ref="I48:M48" si="25">SUM(I49:I51)</f>
        <v>0</v>
      </c>
      <c r="J48" s="384">
        <f t="shared" si="25"/>
        <v>0</v>
      </c>
      <c r="K48" s="384">
        <f t="shared" si="25"/>
        <v>0</v>
      </c>
      <c r="L48" s="384">
        <f t="shared" si="25"/>
        <v>0</v>
      </c>
      <c r="M48" s="384">
        <f t="shared" si="25"/>
        <v>0</v>
      </c>
      <c r="N48" s="64" t="s">
        <v>50</v>
      </c>
    </row>
    <row r="49" ht="15.75" spans="1:14">
      <c r="A49" s="553"/>
      <c r="B49" s="554"/>
      <c r="C49" s="383"/>
      <c r="D49" s="383"/>
      <c r="E49" s="384">
        <f t="shared" si="19"/>
        <v>170480658.92</v>
      </c>
      <c r="F49" s="386">
        <v>0</v>
      </c>
      <c r="G49" s="386">
        <v>0</v>
      </c>
      <c r="H49" s="386">
        <f t="shared" ref="H49:H51" si="26">H53</f>
        <v>170480658.92</v>
      </c>
      <c r="I49" s="386">
        <f t="shared" ref="I49:M51" si="27">I53</f>
        <v>0</v>
      </c>
      <c r="J49" s="386">
        <f t="shared" si="27"/>
        <v>0</v>
      </c>
      <c r="K49" s="386">
        <f t="shared" si="27"/>
        <v>0</v>
      </c>
      <c r="L49" s="386">
        <f t="shared" si="27"/>
        <v>0</v>
      </c>
      <c r="M49" s="386">
        <f t="shared" si="27"/>
        <v>0</v>
      </c>
      <c r="N49" s="64" t="s">
        <v>20</v>
      </c>
    </row>
    <row r="50" ht="15.75" spans="1:14">
      <c r="A50" s="553"/>
      <c r="B50" s="554"/>
      <c r="C50" s="383"/>
      <c r="D50" s="383"/>
      <c r="E50" s="384">
        <f t="shared" si="19"/>
        <v>1722026.86</v>
      </c>
      <c r="F50" s="386">
        <v>0</v>
      </c>
      <c r="G50" s="386">
        <v>0</v>
      </c>
      <c r="H50" s="386">
        <f t="shared" si="26"/>
        <v>1722026.86</v>
      </c>
      <c r="I50" s="386">
        <f t="shared" si="27"/>
        <v>0</v>
      </c>
      <c r="J50" s="386">
        <f t="shared" si="27"/>
        <v>0</v>
      </c>
      <c r="K50" s="386">
        <f t="shared" si="27"/>
        <v>0</v>
      </c>
      <c r="L50" s="386">
        <f t="shared" si="27"/>
        <v>0</v>
      </c>
      <c r="M50" s="386">
        <f t="shared" si="27"/>
        <v>0</v>
      </c>
      <c r="N50" s="64" t="s">
        <v>44</v>
      </c>
    </row>
    <row r="51" ht="15.75" spans="1:14">
      <c r="A51" s="555"/>
      <c r="B51" s="556"/>
      <c r="C51" s="383"/>
      <c r="D51" s="383"/>
      <c r="E51" s="384">
        <f t="shared" si="19"/>
        <v>852250</v>
      </c>
      <c r="F51" s="386">
        <v>0</v>
      </c>
      <c r="G51" s="386">
        <v>0</v>
      </c>
      <c r="H51" s="386">
        <f t="shared" si="26"/>
        <v>852250</v>
      </c>
      <c r="I51" s="386">
        <f t="shared" si="27"/>
        <v>0</v>
      </c>
      <c r="J51" s="386">
        <f t="shared" si="27"/>
        <v>0</v>
      </c>
      <c r="K51" s="386">
        <f t="shared" si="27"/>
        <v>0</v>
      </c>
      <c r="L51" s="386">
        <f t="shared" si="27"/>
        <v>0</v>
      </c>
      <c r="M51" s="386">
        <f t="shared" si="27"/>
        <v>0</v>
      </c>
      <c r="N51" s="64" t="s">
        <v>29</v>
      </c>
    </row>
    <row r="52" ht="15.75" spans="1:14">
      <c r="A52" s="535" t="s">
        <v>51</v>
      </c>
      <c r="B52" s="27" t="s">
        <v>52</v>
      </c>
      <c r="C52" s="27"/>
      <c r="D52" s="27"/>
      <c r="E52" s="379">
        <f t="shared" si="19"/>
        <v>172202685.78</v>
      </c>
      <c r="F52" s="26">
        <f t="shared" ref="F52:M52" si="28">SUM(F53:F54)</f>
        <v>0</v>
      </c>
      <c r="G52" s="26">
        <f t="shared" si="28"/>
        <v>0</v>
      </c>
      <c r="H52" s="26">
        <f t="shared" si="28"/>
        <v>172202685.78</v>
      </c>
      <c r="I52" s="26">
        <f t="shared" si="28"/>
        <v>0</v>
      </c>
      <c r="J52" s="26">
        <f t="shared" si="28"/>
        <v>0</v>
      </c>
      <c r="K52" s="26">
        <f t="shared" si="28"/>
        <v>0</v>
      </c>
      <c r="L52" s="26">
        <f t="shared" si="28"/>
        <v>0</v>
      </c>
      <c r="M52" s="26">
        <f t="shared" si="28"/>
        <v>0</v>
      </c>
      <c r="N52" s="64" t="s">
        <v>10</v>
      </c>
    </row>
    <row r="53" ht="15.75" spans="1:14">
      <c r="A53" s="536"/>
      <c r="B53" s="27"/>
      <c r="C53" s="27"/>
      <c r="D53" s="27"/>
      <c r="E53" s="379">
        <f t="shared" si="19"/>
        <v>170480658.92</v>
      </c>
      <c r="F53" s="28">
        <v>0</v>
      </c>
      <c r="G53" s="28">
        <v>0</v>
      </c>
      <c r="H53" s="28">
        <v>170480658.92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64" t="s">
        <v>20</v>
      </c>
    </row>
    <row r="54" ht="15.75" spans="1:14">
      <c r="A54" s="536"/>
      <c r="B54" s="27"/>
      <c r="C54" s="27"/>
      <c r="D54" s="27"/>
      <c r="E54" s="379">
        <f t="shared" si="19"/>
        <v>1722026.86</v>
      </c>
      <c r="F54" s="28">
        <v>0</v>
      </c>
      <c r="G54" s="28">
        <v>0</v>
      </c>
      <c r="H54" s="28">
        <v>1722026.86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64" t="s">
        <v>53</v>
      </c>
    </row>
    <row r="55" ht="17.25" customHeight="1" spans="1:15">
      <c r="A55" s="43" t="s">
        <v>54</v>
      </c>
      <c r="B55" s="27" t="s">
        <v>47</v>
      </c>
      <c r="C55" s="27"/>
      <c r="D55" s="27"/>
      <c r="E55" s="379">
        <f t="shared" si="19"/>
        <v>852250</v>
      </c>
      <c r="F55" s="28">
        <v>0</v>
      </c>
      <c r="G55" s="28">
        <v>0</v>
      </c>
      <c r="H55" s="450">
        <f>324274.66+527975.34</f>
        <v>852250</v>
      </c>
      <c r="I55" s="450">
        <v>0</v>
      </c>
      <c r="J55" s="450">
        <v>0</v>
      </c>
      <c r="K55" s="450">
        <v>0</v>
      </c>
      <c r="L55" s="450">
        <v>0</v>
      </c>
      <c r="M55" s="450">
        <v>0</v>
      </c>
      <c r="N55" s="64" t="s">
        <v>29</v>
      </c>
      <c r="O55" s="1">
        <v>80000</v>
      </c>
    </row>
    <row r="56" ht="18.75" spans="1:14">
      <c r="A56" s="315" t="s">
        <v>55</v>
      </c>
      <c r="B56" s="367" t="s">
        <v>56</v>
      </c>
      <c r="C56" s="367"/>
      <c r="D56" s="367"/>
      <c r="E56" s="367"/>
      <c r="F56" s="367"/>
      <c r="G56" s="367"/>
      <c r="H56" s="367"/>
      <c r="I56" s="367"/>
      <c r="J56" s="367"/>
      <c r="K56" s="367"/>
      <c r="L56" s="367"/>
      <c r="M56" s="367"/>
      <c r="N56" s="367"/>
    </row>
    <row r="57" ht="51" spans="1:14">
      <c r="A57" s="557" t="s">
        <v>57</v>
      </c>
      <c r="B57" s="558" t="s">
        <v>58</v>
      </c>
      <c r="C57" s="558"/>
      <c r="D57" s="558"/>
      <c r="E57" s="559">
        <f>E58</f>
        <v>26242812.12</v>
      </c>
      <c r="F57" s="559">
        <f t="shared" ref="F57:M57" si="29">F58</f>
        <v>0</v>
      </c>
      <c r="G57" s="559">
        <f t="shared" si="29"/>
        <v>14121600</v>
      </c>
      <c r="H57" s="559">
        <f t="shared" si="29"/>
        <v>12121212.12</v>
      </c>
      <c r="I57" s="559">
        <f t="shared" ref="I57:K57" si="30">I58</f>
        <v>0</v>
      </c>
      <c r="J57" s="559">
        <f t="shared" si="30"/>
        <v>0</v>
      </c>
      <c r="K57" s="559">
        <f t="shared" si="30"/>
        <v>0</v>
      </c>
      <c r="L57" s="559">
        <f t="shared" si="29"/>
        <v>0</v>
      </c>
      <c r="M57" s="559">
        <f t="shared" si="29"/>
        <v>0</v>
      </c>
      <c r="N57" s="565" t="s">
        <v>10</v>
      </c>
    </row>
    <row r="58" ht="15.75" spans="1:14">
      <c r="A58" s="560" t="s">
        <v>59</v>
      </c>
      <c r="B58" s="389" t="s">
        <v>60</v>
      </c>
      <c r="C58" s="389"/>
      <c r="D58" s="389"/>
      <c r="E58" s="534">
        <f t="shared" ref="E58:E71" si="31">F58+G58+H58+I58+J58+K58+L58+M58</f>
        <v>26242812.12</v>
      </c>
      <c r="F58" s="534">
        <f>SUM(F59:F61)</f>
        <v>0</v>
      </c>
      <c r="G58" s="534">
        <f t="shared" ref="G58:M58" si="32">SUM(G59:G61)</f>
        <v>14121600</v>
      </c>
      <c r="H58" s="534">
        <f>H59+H60+H61</f>
        <v>12121212.12</v>
      </c>
      <c r="I58" s="534">
        <f t="shared" ref="I58:K58" si="33">I59+I60+I61</f>
        <v>0</v>
      </c>
      <c r="J58" s="534">
        <f t="shared" si="33"/>
        <v>0</v>
      </c>
      <c r="K58" s="534">
        <f t="shared" si="33"/>
        <v>0</v>
      </c>
      <c r="L58" s="534">
        <f t="shared" si="32"/>
        <v>0</v>
      </c>
      <c r="M58" s="534">
        <f t="shared" si="32"/>
        <v>0</v>
      </c>
      <c r="N58" s="412" t="s">
        <v>10</v>
      </c>
    </row>
    <row r="59" ht="15.75" spans="1:14">
      <c r="A59" s="561"/>
      <c r="B59" s="389"/>
      <c r="C59" s="389"/>
      <c r="D59" s="389"/>
      <c r="E59" s="534">
        <f t="shared" si="31"/>
        <v>24000000</v>
      </c>
      <c r="F59" s="361">
        <f>F63</f>
        <v>0</v>
      </c>
      <c r="G59" s="361">
        <f t="shared" ref="G59:M59" si="34">G63</f>
        <v>12000000</v>
      </c>
      <c r="H59" s="361">
        <f>H63+H64+H65+H66+H67</f>
        <v>12000000</v>
      </c>
      <c r="I59" s="361">
        <f t="shared" ref="I59:K59" si="35">I63+I64+I65+I66+I67</f>
        <v>0</v>
      </c>
      <c r="J59" s="361">
        <f t="shared" si="35"/>
        <v>0</v>
      </c>
      <c r="K59" s="361">
        <f t="shared" si="35"/>
        <v>0</v>
      </c>
      <c r="L59" s="361">
        <f t="shared" si="34"/>
        <v>0</v>
      </c>
      <c r="M59" s="361">
        <f t="shared" si="34"/>
        <v>0</v>
      </c>
      <c r="N59" s="412" t="s">
        <v>15</v>
      </c>
    </row>
    <row r="60" ht="15.75" spans="1:14">
      <c r="A60" s="561"/>
      <c r="B60" s="389"/>
      <c r="C60" s="389"/>
      <c r="D60" s="389"/>
      <c r="E60" s="534">
        <f t="shared" si="31"/>
        <v>242812.12</v>
      </c>
      <c r="F60" s="361">
        <f>F68</f>
        <v>0</v>
      </c>
      <c r="G60" s="361">
        <f>G68</f>
        <v>121600</v>
      </c>
      <c r="H60" s="361">
        <f>H68+H69+H70</f>
        <v>121212.12</v>
      </c>
      <c r="I60" s="361">
        <f t="shared" ref="I60:K60" si="36">I68+I69+I70</f>
        <v>0</v>
      </c>
      <c r="J60" s="361">
        <f t="shared" si="36"/>
        <v>0</v>
      </c>
      <c r="K60" s="361">
        <f t="shared" si="36"/>
        <v>0</v>
      </c>
      <c r="L60" s="361">
        <f>L68</f>
        <v>0</v>
      </c>
      <c r="M60" s="361">
        <f>M68</f>
        <v>0</v>
      </c>
      <c r="N60" s="412" t="s">
        <v>16</v>
      </c>
    </row>
    <row r="61" ht="15.75" spans="1:14">
      <c r="A61" s="561"/>
      <c r="B61" s="389"/>
      <c r="C61" s="389"/>
      <c r="D61" s="389"/>
      <c r="E61" s="534">
        <f t="shared" si="31"/>
        <v>2000000</v>
      </c>
      <c r="F61" s="361">
        <f>F71</f>
        <v>0</v>
      </c>
      <c r="G61" s="361">
        <f t="shared" ref="G61:M61" si="37">G71</f>
        <v>2000000</v>
      </c>
      <c r="H61" s="361">
        <f t="shared" si="37"/>
        <v>0</v>
      </c>
      <c r="I61" s="361">
        <f t="shared" si="37"/>
        <v>0</v>
      </c>
      <c r="J61" s="361">
        <f t="shared" si="37"/>
        <v>0</v>
      </c>
      <c r="K61" s="361">
        <f t="shared" si="37"/>
        <v>0</v>
      </c>
      <c r="L61" s="361">
        <f t="shared" si="37"/>
        <v>0</v>
      </c>
      <c r="M61" s="361">
        <f t="shared" si="37"/>
        <v>0</v>
      </c>
      <c r="N61" s="412" t="s">
        <v>17</v>
      </c>
    </row>
    <row r="62" ht="15.75" spans="1:14">
      <c r="A62" s="535" t="s">
        <v>61</v>
      </c>
      <c r="B62" s="27" t="s">
        <v>62</v>
      </c>
      <c r="C62" s="27"/>
      <c r="D62" s="27"/>
      <c r="E62" s="534">
        <f t="shared" si="31"/>
        <v>26242812.12</v>
      </c>
      <c r="F62" s="26">
        <f t="shared" ref="F62:M62" si="38">SUM(F63:F71)</f>
        <v>0</v>
      </c>
      <c r="G62" s="26">
        <f t="shared" si="38"/>
        <v>14121600</v>
      </c>
      <c r="H62" s="26">
        <f t="shared" si="38"/>
        <v>12121212.12</v>
      </c>
      <c r="I62" s="26">
        <f t="shared" si="38"/>
        <v>0</v>
      </c>
      <c r="J62" s="26">
        <f t="shared" si="38"/>
        <v>0</v>
      </c>
      <c r="K62" s="26">
        <f t="shared" si="38"/>
        <v>0</v>
      </c>
      <c r="L62" s="26">
        <f t="shared" si="38"/>
        <v>0</v>
      </c>
      <c r="M62" s="26">
        <f t="shared" si="38"/>
        <v>0</v>
      </c>
      <c r="N62" s="64" t="s">
        <v>10</v>
      </c>
    </row>
    <row r="63" ht="15.75" spans="1:14">
      <c r="A63" s="536"/>
      <c r="B63" s="27"/>
      <c r="C63" s="27"/>
      <c r="D63" s="27"/>
      <c r="E63" s="534">
        <f t="shared" si="31"/>
        <v>12000000</v>
      </c>
      <c r="F63" s="28">
        <v>0</v>
      </c>
      <c r="G63" s="28">
        <v>12000000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64" t="s">
        <v>63</v>
      </c>
    </row>
    <row r="64" ht="15.75" spans="1:14">
      <c r="A64" s="536"/>
      <c r="B64" s="27"/>
      <c r="C64" s="27"/>
      <c r="D64" s="27"/>
      <c r="E64" s="534">
        <f t="shared" si="31"/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411" t="s">
        <v>64</v>
      </c>
    </row>
    <row r="65" ht="15.75" spans="1:14">
      <c r="A65" s="536"/>
      <c r="B65" s="27"/>
      <c r="C65" s="27"/>
      <c r="D65" s="27"/>
      <c r="E65" s="534">
        <f t="shared" si="31"/>
        <v>9000000</v>
      </c>
      <c r="F65" s="28">
        <v>0</v>
      </c>
      <c r="G65" s="28">
        <v>0</v>
      </c>
      <c r="H65" s="28">
        <v>9000000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411" t="s">
        <v>65</v>
      </c>
    </row>
    <row r="66" ht="15.75" spans="1:14">
      <c r="A66" s="536"/>
      <c r="B66" s="27"/>
      <c r="C66" s="27"/>
      <c r="D66" s="27"/>
      <c r="E66" s="534">
        <f t="shared" si="31"/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412" t="s">
        <v>66</v>
      </c>
    </row>
    <row r="67" ht="15.75" spans="1:14">
      <c r="A67" s="536"/>
      <c r="B67" s="27"/>
      <c r="C67" s="27"/>
      <c r="D67" s="27"/>
      <c r="E67" s="534">
        <f t="shared" si="31"/>
        <v>3000000</v>
      </c>
      <c r="F67" s="28">
        <v>0</v>
      </c>
      <c r="G67" s="28">
        <v>0</v>
      </c>
      <c r="H67" s="28">
        <v>3000000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412" t="s">
        <v>67</v>
      </c>
    </row>
    <row r="68" ht="15.75" spans="1:14">
      <c r="A68" s="536"/>
      <c r="B68" s="27"/>
      <c r="C68" s="27"/>
      <c r="D68" s="27"/>
      <c r="E68" s="534">
        <f t="shared" si="31"/>
        <v>121600</v>
      </c>
      <c r="F68" s="28">
        <v>0</v>
      </c>
      <c r="G68" s="28">
        <v>121600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64" t="s">
        <v>68</v>
      </c>
    </row>
    <row r="69" ht="15.75" spans="1:14">
      <c r="A69" s="536"/>
      <c r="B69" s="27"/>
      <c r="C69" s="27"/>
      <c r="D69" s="27"/>
      <c r="E69" s="534">
        <f t="shared" si="31"/>
        <v>90909.09</v>
      </c>
      <c r="F69" s="28">
        <v>0</v>
      </c>
      <c r="G69" s="28">
        <v>0</v>
      </c>
      <c r="H69" s="28">
        <v>90909.09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411" t="s">
        <v>44</v>
      </c>
    </row>
    <row r="70" ht="15.75" spans="1:14">
      <c r="A70" s="536"/>
      <c r="B70" s="27"/>
      <c r="C70" s="27"/>
      <c r="D70" s="27"/>
      <c r="E70" s="534">
        <f t="shared" si="31"/>
        <v>30303.03</v>
      </c>
      <c r="F70" s="28">
        <v>0</v>
      </c>
      <c r="G70" s="28">
        <v>0</v>
      </c>
      <c r="H70" s="28">
        <v>30303.03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412" t="s">
        <v>45</v>
      </c>
    </row>
    <row r="71" ht="15.75" spans="1:14">
      <c r="A71" s="536"/>
      <c r="B71" s="27"/>
      <c r="C71" s="27"/>
      <c r="D71" s="27"/>
      <c r="E71" s="534">
        <f t="shared" si="31"/>
        <v>2000000</v>
      </c>
      <c r="F71" s="28">
        <v>0</v>
      </c>
      <c r="G71" s="28">
        <v>2000000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64" t="s">
        <v>69</v>
      </c>
    </row>
    <row r="72" ht="18.75" customHeight="1" spans="1:14">
      <c r="A72" s="396" t="s">
        <v>70</v>
      </c>
      <c r="B72" s="396"/>
      <c r="C72" s="396"/>
      <c r="D72" s="517"/>
      <c r="E72" s="279">
        <f t="shared" ref="E72:E77" si="39">SUM(F72:M72)</f>
        <v>738533988.83</v>
      </c>
      <c r="F72" s="282">
        <f>F73+F74+F75+F76+F77</f>
        <v>143352945.7</v>
      </c>
      <c r="G72" s="282">
        <f>G73+G74+G75+G76+G77</f>
        <v>96281194.38</v>
      </c>
      <c r="H72" s="282">
        <f>H73+H74+H75+H76+H77</f>
        <v>270051367.06</v>
      </c>
      <c r="I72" s="282">
        <f>I73+I74+I75+I76+I77</f>
        <v>110583928.21</v>
      </c>
      <c r="J72" s="282">
        <f t="shared" ref="J72:K72" si="40">J73+J74+J75+J76+J77</f>
        <v>113784070.47</v>
      </c>
      <c r="K72" s="282">
        <f t="shared" si="40"/>
        <v>3480483.01</v>
      </c>
      <c r="L72" s="282">
        <f t="shared" ref="L72:M72" si="41">L73+L74+L75+L76+L77</f>
        <v>500000</v>
      </c>
      <c r="M72" s="282">
        <f t="shared" si="41"/>
        <v>500000</v>
      </c>
      <c r="N72" s="340"/>
    </row>
    <row r="73" ht="15.75" spans="1:14">
      <c r="A73" s="399"/>
      <c r="B73" s="399"/>
      <c r="C73" s="399"/>
      <c r="D73" s="518"/>
      <c r="E73" s="279">
        <f t="shared" si="39"/>
        <v>357627619.55</v>
      </c>
      <c r="F73" s="280">
        <f>F5</f>
        <v>41884990.12</v>
      </c>
      <c r="G73" s="280">
        <f>G5</f>
        <v>36046471.3</v>
      </c>
      <c r="H73" s="280">
        <f>H5+H32</f>
        <v>205585645.75</v>
      </c>
      <c r="I73" s="280">
        <f t="shared" ref="I73:K73" si="42">I5+I32</f>
        <v>35104986.83</v>
      </c>
      <c r="J73" s="280">
        <f t="shared" si="42"/>
        <v>39005525.55</v>
      </c>
      <c r="K73" s="280">
        <f t="shared" si="42"/>
        <v>0</v>
      </c>
      <c r="L73" s="280">
        <f>L5</f>
        <v>0</v>
      </c>
      <c r="M73" s="280">
        <f>M5</f>
        <v>0</v>
      </c>
      <c r="N73" s="420" t="s">
        <v>14</v>
      </c>
    </row>
    <row r="74" ht="15.75" spans="1:14">
      <c r="A74" s="399"/>
      <c r="B74" s="399"/>
      <c r="C74" s="399"/>
      <c r="D74" s="518"/>
      <c r="E74" s="279">
        <f t="shared" si="39"/>
        <v>311450796.14</v>
      </c>
      <c r="F74" s="280">
        <f t="shared" ref="F74:M74" si="43">F6+F33+F63</f>
        <v>71093509.18</v>
      </c>
      <c r="G74" s="280">
        <f t="shared" si="43"/>
        <v>47821420.3</v>
      </c>
      <c r="H74" s="280">
        <f>H6+H33+H59</f>
        <v>50019345.67</v>
      </c>
      <c r="I74" s="280">
        <f t="shared" ref="I74:K74" si="44">I6+I33+I59</f>
        <v>71218459.08</v>
      </c>
      <c r="J74" s="280">
        <f t="shared" si="44"/>
        <v>71298061.91</v>
      </c>
      <c r="K74" s="280">
        <f t="shared" si="44"/>
        <v>0</v>
      </c>
      <c r="L74" s="280">
        <f t="shared" si="43"/>
        <v>0</v>
      </c>
      <c r="M74" s="280">
        <f t="shared" si="43"/>
        <v>0</v>
      </c>
      <c r="N74" s="420" t="s">
        <v>71</v>
      </c>
    </row>
    <row r="75" ht="15.75" spans="1:14">
      <c r="A75" s="399"/>
      <c r="B75" s="399"/>
      <c r="C75" s="399"/>
      <c r="D75" s="518"/>
      <c r="E75" s="279">
        <f t="shared" si="39"/>
        <v>0</v>
      </c>
      <c r="F75" s="280">
        <f>F64+F66</f>
        <v>0</v>
      </c>
      <c r="G75" s="280">
        <f t="shared" ref="G75:M75" si="45">G64+G66</f>
        <v>0</v>
      </c>
      <c r="H75" s="280">
        <f t="shared" si="45"/>
        <v>0</v>
      </c>
      <c r="I75" s="280">
        <f t="shared" ref="I75:K75" si="46">I64+I66</f>
        <v>0</v>
      </c>
      <c r="J75" s="280">
        <f t="shared" si="46"/>
        <v>0</v>
      </c>
      <c r="K75" s="280">
        <f t="shared" si="46"/>
        <v>0</v>
      </c>
      <c r="L75" s="280">
        <f t="shared" si="45"/>
        <v>0</v>
      </c>
      <c r="M75" s="280">
        <f t="shared" si="45"/>
        <v>0</v>
      </c>
      <c r="N75" s="420" t="s">
        <v>72</v>
      </c>
    </row>
    <row r="76" ht="18.75" customHeight="1" spans="1:14">
      <c r="A76" s="399"/>
      <c r="B76" s="399"/>
      <c r="C76" s="399"/>
      <c r="D76" s="518"/>
      <c r="E76" s="279">
        <f t="shared" si="39"/>
        <v>14077058.95</v>
      </c>
      <c r="F76" s="280">
        <f t="shared" ref="F76:F77" si="47">F7+F38+F60</f>
        <v>2387104.15</v>
      </c>
      <c r="G76" s="280">
        <f t="shared" ref="G76:G77" si="48">G7+G38+G60</f>
        <v>1391561.9</v>
      </c>
      <c r="H76" s="280">
        <f t="shared" ref="H76:H77" si="49">H7+H34+H60</f>
        <v>3176944.58</v>
      </c>
      <c r="I76" s="280">
        <f t="shared" ref="I76:K77" si="50">I7+I34+I60</f>
        <v>2360482.3</v>
      </c>
      <c r="J76" s="280">
        <f t="shared" si="50"/>
        <v>2380483.01</v>
      </c>
      <c r="K76" s="280">
        <f t="shared" si="50"/>
        <v>2380483.01</v>
      </c>
      <c r="L76" s="280">
        <f t="shared" ref="L76:M77" si="51">L7+L38+L60</f>
        <v>0</v>
      </c>
      <c r="M76" s="280">
        <f t="shared" si="51"/>
        <v>0</v>
      </c>
      <c r="N76" s="287" t="s">
        <v>16</v>
      </c>
    </row>
    <row r="77" ht="18.75" customHeight="1" spans="1:18">
      <c r="A77" s="402"/>
      <c r="B77" s="402"/>
      <c r="C77" s="402"/>
      <c r="D77" s="519"/>
      <c r="E77" s="279">
        <f t="shared" si="39"/>
        <v>55378514.19</v>
      </c>
      <c r="F77" s="282">
        <f t="shared" si="47"/>
        <v>27987342.25</v>
      </c>
      <c r="G77" s="282">
        <f t="shared" si="48"/>
        <v>11021740.88</v>
      </c>
      <c r="H77" s="282">
        <f t="shared" si="49"/>
        <v>11269431.06</v>
      </c>
      <c r="I77" s="282">
        <f t="shared" si="50"/>
        <v>1900000</v>
      </c>
      <c r="J77" s="282">
        <f t="shared" si="50"/>
        <v>1100000</v>
      </c>
      <c r="K77" s="282">
        <f t="shared" si="50"/>
        <v>1100000</v>
      </c>
      <c r="L77" s="282">
        <f t="shared" si="51"/>
        <v>500000</v>
      </c>
      <c r="M77" s="282">
        <f t="shared" si="51"/>
        <v>500000</v>
      </c>
      <c r="N77" s="287" t="s">
        <v>73</v>
      </c>
      <c r="R77" s="8" t="s">
        <v>74</v>
      </c>
    </row>
    <row r="78" ht="18.75" spans="1:14">
      <c r="A78" s="284" t="s">
        <v>5</v>
      </c>
      <c r="B78" s="284"/>
      <c r="C78" s="284"/>
      <c r="D78" s="284"/>
      <c r="E78" s="323"/>
      <c r="F78" s="323"/>
      <c r="G78" s="566"/>
      <c r="H78" s="323"/>
      <c r="I78" s="323"/>
      <c r="J78" s="323"/>
      <c r="K78" s="323"/>
      <c r="L78" s="323"/>
      <c r="M78" s="323"/>
      <c r="N78" s="340" t="s">
        <v>75</v>
      </c>
    </row>
    <row r="79" ht="15.75" spans="2:14">
      <c r="B79" s="467"/>
      <c r="C79" s="467"/>
      <c r="D79" s="467"/>
      <c r="M79" s="479" t="s">
        <v>76</v>
      </c>
      <c r="N79" s="479"/>
    </row>
    <row r="80" ht="15.75" spans="7:14">
      <c r="G80" s="2">
        <f>G77+G76</f>
        <v>12413302.78</v>
      </c>
      <c r="M80" s="480">
        <f>M81+M82+M83+M84+M85</f>
        <v>178063747.64</v>
      </c>
      <c r="N80" s="480">
        <f t="shared" ref="N80:N81" si="52">E72+M80</f>
        <v>916597736.47</v>
      </c>
    </row>
    <row r="81" ht="15.75" spans="13:14">
      <c r="M81" s="480">
        <v>62080983.76</v>
      </c>
      <c r="N81" s="480">
        <f t="shared" si="52"/>
        <v>419708603.31</v>
      </c>
    </row>
    <row r="82" ht="15.75" spans="13:14">
      <c r="M82" s="480">
        <v>76673597.31</v>
      </c>
      <c r="N82" s="480">
        <f t="shared" ref="N82:N85" si="53">E75+M82</f>
        <v>76673597.31</v>
      </c>
    </row>
    <row r="83" ht="15.75" spans="13:14">
      <c r="M83" s="480">
        <v>3930727.5</v>
      </c>
      <c r="N83" s="480">
        <f t="shared" si="53"/>
        <v>18007786.45</v>
      </c>
    </row>
    <row r="84" ht="15.75" spans="13:14">
      <c r="M84" s="480">
        <v>34136958.55</v>
      </c>
      <c r="N84" s="480">
        <f t="shared" si="53"/>
        <v>89515472.74</v>
      </c>
    </row>
    <row r="85" ht="15.75" spans="13:14">
      <c r="M85" s="480">
        <v>1241480.52</v>
      </c>
      <c r="N85" s="480">
        <f t="shared" si="53"/>
        <v>1241480.52</v>
      </c>
    </row>
  </sheetData>
  <mergeCells count="28">
    <mergeCell ref="B30:N30"/>
    <mergeCell ref="B56:N56"/>
    <mergeCell ref="A78:D78"/>
    <mergeCell ref="A4:A8"/>
    <mergeCell ref="A9:A21"/>
    <mergeCell ref="A22:A25"/>
    <mergeCell ref="A26:A29"/>
    <mergeCell ref="A31:A35"/>
    <mergeCell ref="A36:A39"/>
    <mergeCell ref="A40:A45"/>
    <mergeCell ref="A46:A47"/>
    <mergeCell ref="A48:A51"/>
    <mergeCell ref="A52:A54"/>
    <mergeCell ref="A58:A61"/>
    <mergeCell ref="A62:A71"/>
    <mergeCell ref="B4:B8"/>
    <mergeCell ref="B9:B21"/>
    <mergeCell ref="B22:B25"/>
    <mergeCell ref="B26:B29"/>
    <mergeCell ref="B31:B35"/>
    <mergeCell ref="B36:B39"/>
    <mergeCell ref="B40:B45"/>
    <mergeCell ref="B46:B47"/>
    <mergeCell ref="B48:B51"/>
    <mergeCell ref="B52:B54"/>
    <mergeCell ref="B58:B61"/>
    <mergeCell ref="B62:B71"/>
    <mergeCell ref="A72:D77"/>
  </mergeCells>
  <pageMargins left="0.118110236220472" right="0.118110236220472" top="0.15748031496063" bottom="0.15748031496063" header="0.31496062992126" footer="0.31496062992126"/>
  <pageSetup paperSize="9" scale="54" orientation="portrait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9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8" width="14.2857142857143" style="3" customWidth="1"/>
    <col min="9" max="9" width="9.71428571428571" style="3" customWidth="1"/>
    <col min="10" max="10" width="9.14285714285714" style="3" customWidth="1"/>
    <col min="11" max="11" width="17.2857142857143" style="4" customWidth="1"/>
    <col min="12" max="12" width="0.285714285714286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20.25" spans="1:11">
      <c r="A1" s="422" t="s">
        <v>0</v>
      </c>
      <c r="B1" s="423" t="s">
        <v>1</v>
      </c>
      <c r="C1" s="423" t="s">
        <v>2</v>
      </c>
      <c r="D1" s="423" t="s">
        <v>3</v>
      </c>
      <c r="E1" s="423" t="s">
        <v>4</v>
      </c>
      <c r="F1" s="424">
        <v>2023</v>
      </c>
      <c r="G1" s="424">
        <v>2024</v>
      </c>
      <c r="H1" s="425">
        <v>2025</v>
      </c>
      <c r="I1" s="424">
        <v>2026</v>
      </c>
      <c r="J1" s="424">
        <v>2027</v>
      </c>
      <c r="K1" s="468" t="s">
        <v>116</v>
      </c>
    </row>
    <row r="2" spans="1:11">
      <c r="A2" s="426">
        <v>1</v>
      </c>
      <c r="B2" s="426">
        <v>2</v>
      </c>
      <c r="C2" s="426">
        <v>3</v>
      </c>
      <c r="D2" s="426">
        <v>4</v>
      </c>
      <c r="E2" s="426">
        <v>5</v>
      </c>
      <c r="F2" s="426">
        <v>6</v>
      </c>
      <c r="G2" s="426">
        <v>7</v>
      </c>
      <c r="H2" s="426">
        <v>8</v>
      </c>
      <c r="I2" s="426">
        <v>9</v>
      </c>
      <c r="J2" s="426">
        <v>10</v>
      </c>
      <c r="K2" s="426">
        <v>11</v>
      </c>
    </row>
    <row r="3" s="1" customFormat="1" ht="19.5" spans="1:12">
      <c r="A3" s="427" t="s">
        <v>6</v>
      </c>
      <c r="B3" s="428" t="s">
        <v>7</v>
      </c>
      <c r="C3" s="429"/>
      <c r="D3" s="429"/>
      <c r="E3" s="429"/>
      <c r="F3" s="430"/>
      <c r="G3" s="430"/>
      <c r="H3" s="429"/>
      <c r="I3" s="430"/>
      <c r="J3" s="430"/>
      <c r="K3" s="469"/>
      <c r="L3" s="85"/>
    </row>
    <row r="4" s="1" customFormat="1" ht="15.75" spans="1:12">
      <c r="A4" s="350" t="s">
        <v>8</v>
      </c>
      <c r="B4" s="351" t="s">
        <v>77</v>
      </c>
      <c r="C4" s="352"/>
      <c r="D4" s="352"/>
      <c r="E4" s="431">
        <f>F4+G4+H4+I4+J4</f>
        <v>285041418.28</v>
      </c>
      <c r="F4" s="432">
        <f>SUM(F5:F8)</f>
        <v>164564076.58</v>
      </c>
      <c r="G4" s="432">
        <f>SUM(G5:G8)</f>
        <v>120477341.7</v>
      </c>
      <c r="H4" s="432">
        <f t="shared" ref="H4:J4" si="0">SUM(H5:H8)</f>
        <v>0</v>
      </c>
      <c r="I4" s="432">
        <f t="shared" si="0"/>
        <v>0</v>
      </c>
      <c r="J4" s="354">
        <f t="shared" si="0"/>
        <v>0</v>
      </c>
      <c r="K4" s="408" t="s">
        <v>13</v>
      </c>
      <c r="L4" s="85"/>
    </row>
    <row r="5" s="1" customFormat="1" ht="15.75" spans="1:12">
      <c r="A5" s="355"/>
      <c r="B5" s="352"/>
      <c r="C5" s="352"/>
      <c r="D5" s="352"/>
      <c r="E5" s="431">
        <f t="shared" ref="E5:E12" si="1">SUM(F5:J5)</f>
        <v>180948573.32</v>
      </c>
      <c r="F5" s="432">
        <f>F10+F11+F18+F19</f>
        <v>141479117.43</v>
      </c>
      <c r="G5" s="432">
        <f t="shared" ref="G5:J5" si="2">G10+G11+G18+G19</f>
        <v>39469455.89</v>
      </c>
      <c r="H5" s="432">
        <f t="shared" si="2"/>
        <v>0</v>
      </c>
      <c r="I5" s="432">
        <f t="shared" si="2"/>
        <v>0</v>
      </c>
      <c r="J5" s="432">
        <f t="shared" si="2"/>
        <v>0</v>
      </c>
      <c r="K5" s="409" t="s">
        <v>78</v>
      </c>
      <c r="L5" s="85"/>
    </row>
    <row r="6" s="1" customFormat="1" ht="15.75" spans="1:12">
      <c r="A6" s="355"/>
      <c r="B6" s="352"/>
      <c r="C6" s="352"/>
      <c r="D6" s="352"/>
      <c r="E6" s="353">
        <f t="shared" si="1"/>
        <v>1529562.72</v>
      </c>
      <c r="F6" s="354">
        <f>F12+F13</f>
        <v>724063.62</v>
      </c>
      <c r="G6" s="354">
        <f t="shared" ref="G6:J6" si="3">G12+G13</f>
        <v>805499.1</v>
      </c>
      <c r="H6" s="354">
        <f t="shared" si="3"/>
        <v>0</v>
      </c>
      <c r="I6" s="354">
        <f t="shared" si="3"/>
        <v>0</v>
      </c>
      <c r="J6" s="354">
        <f t="shared" si="3"/>
        <v>0</v>
      </c>
      <c r="K6" s="409" t="s">
        <v>71</v>
      </c>
      <c r="L6" s="85"/>
    </row>
    <row r="7" s="1" customFormat="1" ht="15.75" spans="1:12">
      <c r="A7" s="355"/>
      <c r="B7" s="352"/>
      <c r="C7" s="352"/>
      <c r="D7" s="352"/>
      <c r="E7" s="353">
        <f t="shared" si="1"/>
        <v>384312.24</v>
      </c>
      <c r="F7" s="354">
        <f>F14+F15</f>
        <v>181925.53</v>
      </c>
      <c r="G7" s="354">
        <f t="shared" ref="G7:J7" si="4">G14+G15</f>
        <v>202386.71</v>
      </c>
      <c r="H7" s="354">
        <f t="shared" si="4"/>
        <v>0</v>
      </c>
      <c r="I7" s="354">
        <f t="shared" si="4"/>
        <v>0</v>
      </c>
      <c r="J7" s="354">
        <f t="shared" si="4"/>
        <v>0</v>
      </c>
      <c r="K7" s="409" t="s">
        <v>16</v>
      </c>
      <c r="L7" s="85"/>
    </row>
    <row r="8" s="1" customFormat="1" ht="16.5" spans="1:12">
      <c r="A8" s="355"/>
      <c r="B8" s="352"/>
      <c r="C8" s="352"/>
      <c r="D8" s="352"/>
      <c r="E8" s="433">
        <f t="shared" si="1"/>
        <v>102178970</v>
      </c>
      <c r="F8" s="354">
        <f>F20+F21</f>
        <v>22178970</v>
      </c>
      <c r="G8" s="354">
        <f>G16+G20+G21</f>
        <v>80000000</v>
      </c>
      <c r="H8" s="354">
        <v>0</v>
      </c>
      <c r="I8" s="354">
        <v>0</v>
      </c>
      <c r="J8" s="354">
        <v>0</v>
      </c>
      <c r="K8" s="409" t="s">
        <v>73</v>
      </c>
      <c r="L8" s="85"/>
    </row>
    <row r="9" s="1" customFormat="1" ht="15.75" spans="1:12">
      <c r="A9" s="350" t="s">
        <v>11</v>
      </c>
      <c r="B9" s="356" t="s">
        <v>79</v>
      </c>
      <c r="C9" s="352"/>
      <c r="D9" s="352"/>
      <c r="E9" s="433">
        <f t="shared" si="1"/>
        <v>91862448.28</v>
      </c>
      <c r="F9" s="354">
        <f>F10+F11+F12+F13+F14+F16</f>
        <v>36385106.58</v>
      </c>
      <c r="G9" s="434">
        <f>G10+G11+G12+G13+G14+G16+G15</f>
        <v>55477341.7</v>
      </c>
      <c r="H9" s="354">
        <f t="shared" ref="H9:J9" si="5">H10+H11+H12+H13+H14+H16</f>
        <v>0</v>
      </c>
      <c r="I9" s="354">
        <f t="shared" si="5"/>
        <v>0</v>
      </c>
      <c r="J9" s="354">
        <f t="shared" si="5"/>
        <v>0</v>
      </c>
      <c r="K9" s="408" t="s">
        <v>13</v>
      </c>
      <c r="L9" s="85"/>
    </row>
    <row r="10" s="1" customFormat="1" ht="15.75" spans="1:12">
      <c r="A10" s="355"/>
      <c r="B10" s="357"/>
      <c r="C10" s="357"/>
      <c r="D10" s="357"/>
      <c r="E10" s="433">
        <f t="shared" si="1"/>
        <v>74948573.32</v>
      </c>
      <c r="F10" s="358">
        <v>35479117.43</v>
      </c>
      <c r="G10" s="435">
        <v>39469455.89</v>
      </c>
      <c r="H10" s="360">
        <v>0</v>
      </c>
      <c r="I10" s="410">
        <v>0</v>
      </c>
      <c r="J10" s="410">
        <v>0</v>
      </c>
      <c r="K10" s="411" t="s">
        <v>20</v>
      </c>
      <c r="L10" s="85"/>
    </row>
    <row r="11" s="1" customFormat="1" ht="15.75" spans="1:12">
      <c r="A11" s="355"/>
      <c r="B11" s="357"/>
      <c r="C11" s="357"/>
      <c r="D11" s="357"/>
      <c r="E11" s="433">
        <f t="shared" si="1"/>
        <v>0</v>
      </c>
      <c r="F11" s="361">
        <v>0</v>
      </c>
      <c r="G11" s="436">
        <v>0</v>
      </c>
      <c r="H11" s="361">
        <v>0</v>
      </c>
      <c r="I11" s="361">
        <v>0</v>
      </c>
      <c r="J11" s="361">
        <v>0</v>
      </c>
      <c r="K11" s="412" t="s">
        <v>21</v>
      </c>
      <c r="L11" s="85"/>
    </row>
    <row r="12" s="1" customFormat="1" ht="15.75" spans="1:12">
      <c r="A12" s="355"/>
      <c r="B12" s="357"/>
      <c r="C12" s="357"/>
      <c r="D12" s="357"/>
      <c r="E12" s="433">
        <f t="shared" si="1"/>
        <v>1529562.72</v>
      </c>
      <c r="F12" s="359">
        <v>724063.62</v>
      </c>
      <c r="G12" s="435">
        <v>805499.1</v>
      </c>
      <c r="H12" s="359">
        <v>0</v>
      </c>
      <c r="I12" s="359">
        <v>0</v>
      </c>
      <c r="J12" s="359">
        <v>0</v>
      </c>
      <c r="K12" s="411" t="s">
        <v>23</v>
      </c>
      <c r="L12" s="85"/>
    </row>
    <row r="13" s="1" customFormat="1" ht="15.75" spans="1:12">
      <c r="A13" s="355"/>
      <c r="B13" s="357"/>
      <c r="C13" s="357"/>
      <c r="D13" s="357"/>
      <c r="E13" s="433">
        <f t="shared" ref="E13:E21" si="6">SUM(F13:J13)</f>
        <v>0</v>
      </c>
      <c r="F13" s="361">
        <v>0</v>
      </c>
      <c r="G13" s="436">
        <v>0</v>
      </c>
      <c r="H13" s="361">
        <v>0</v>
      </c>
      <c r="I13" s="361">
        <v>0</v>
      </c>
      <c r="J13" s="361">
        <v>0</v>
      </c>
      <c r="K13" s="412" t="s">
        <v>24</v>
      </c>
      <c r="L13" s="85"/>
    </row>
    <row r="14" s="1" customFormat="1" ht="15.75" spans="1:12">
      <c r="A14" s="355"/>
      <c r="B14" s="357"/>
      <c r="C14" s="357"/>
      <c r="D14" s="357"/>
      <c r="E14" s="433">
        <f t="shared" si="6"/>
        <v>384312.24</v>
      </c>
      <c r="F14" s="359">
        <v>181925.53</v>
      </c>
      <c r="G14" s="435">
        <v>202386.71</v>
      </c>
      <c r="H14" s="359">
        <v>0</v>
      </c>
      <c r="I14" s="359">
        <v>0</v>
      </c>
      <c r="J14" s="359">
        <v>0</v>
      </c>
      <c r="K14" s="411" t="s">
        <v>26</v>
      </c>
      <c r="L14" s="85"/>
    </row>
    <row r="15" s="1" customFormat="1" ht="15.75" spans="1:12">
      <c r="A15" s="355"/>
      <c r="B15" s="357"/>
      <c r="C15" s="357"/>
      <c r="D15" s="357"/>
      <c r="E15" s="433">
        <f t="shared" si="6"/>
        <v>0</v>
      </c>
      <c r="F15" s="435">
        <v>0</v>
      </c>
      <c r="G15" s="435">
        <v>0</v>
      </c>
      <c r="H15" s="359">
        <v>0</v>
      </c>
      <c r="I15" s="359">
        <v>0</v>
      </c>
      <c r="J15" s="359">
        <v>0</v>
      </c>
      <c r="K15" s="411" t="s">
        <v>45</v>
      </c>
      <c r="L15" s="85"/>
    </row>
    <row r="16" s="1" customFormat="1" ht="16.5" spans="1:12">
      <c r="A16" s="362"/>
      <c r="B16" s="363"/>
      <c r="C16" s="357"/>
      <c r="D16" s="357"/>
      <c r="E16" s="353">
        <f t="shared" si="6"/>
        <v>15000000</v>
      </c>
      <c r="F16" s="361">
        <v>0</v>
      </c>
      <c r="G16" s="361">
        <v>15000000</v>
      </c>
      <c r="H16" s="361">
        <v>0</v>
      </c>
      <c r="I16" s="361">
        <v>0</v>
      </c>
      <c r="J16" s="361">
        <v>0</v>
      </c>
      <c r="K16" s="412" t="s">
        <v>29</v>
      </c>
      <c r="L16" s="85"/>
    </row>
    <row r="17" s="1" customFormat="1" ht="15.75" spans="1:12">
      <c r="A17" s="350" t="s">
        <v>91</v>
      </c>
      <c r="B17" s="356" t="s">
        <v>92</v>
      </c>
      <c r="C17" s="357"/>
      <c r="D17" s="357"/>
      <c r="E17" s="431">
        <f t="shared" si="6"/>
        <v>193178970</v>
      </c>
      <c r="F17" s="437">
        <f>F18+F19+F20+F21</f>
        <v>128178970</v>
      </c>
      <c r="G17" s="437">
        <f t="shared" ref="G17:J23" si="7">G18+G19+G20+G21</f>
        <v>65000000</v>
      </c>
      <c r="H17" s="437">
        <f t="shared" si="7"/>
        <v>0</v>
      </c>
      <c r="I17" s="437">
        <f t="shared" si="7"/>
        <v>0</v>
      </c>
      <c r="J17" s="437">
        <f t="shared" si="7"/>
        <v>0</v>
      </c>
      <c r="K17" s="412" t="s">
        <v>13</v>
      </c>
      <c r="L17" s="85"/>
    </row>
    <row r="18" s="1" customFormat="1" ht="15.75" spans="1:12">
      <c r="A18" s="355"/>
      <c r="B18" s="357"/>
      <c r="C18" s="357"/>
      <c r="D18" s="357"/>
      <c r="E18" s="431">
        <f t="shared" si="6"/>
        <v>68200677.18</v>
      </c>
      <c r="F18" s="438">
        <f>106000000-37799322.82</f>
        <v>68200677.18</v>
      </c>
      <c r="G18" s="438">
        <v>0</v>
      </c>
      <c r="H18" s="358">
        <v>0</v>
      </c>
      <c r="I18" s="358">
        <v>0</v>
      </c>
      <c r="J18" s="358">
        <v>0</v>
      </c>
      <c r="K18" s="411" t="s">
        <v>95</v>
      </c>
      <c r="L18" s="85"/>
    </row>
    <row r="19" s="1" customFormat="1" ht="15.75" spans="1:12">
      <c r="A19" s="355"/>
      <c r="B19" s="357"/>
      <c r="C19" s="357"/>
      <c r="D19" s="357"/>
      <c r="E19" s="431">
        <f t="shared" si="6"/>
        <v>37799322.82</v>
      </c>
      <c r="F19" s="438">
        <v>37799322.82</v>
      </c>
      <c r="G19" s="438">
        <v>0</v>
      </c>
      <c r="H19" s="358">
        <v>0</v>
      </c>
      <c r="I19" s="358">
        <v>0</v>
      </c>
      <c r="J19" s="358">
        <v>0</v>
      </c>
      <c r="K19" s="411" t="s">
        <v>117</v>
      </c>
      <c r="L19" s="85"/>
    </row>
    <row r="20" s="1" customFormat="1" ht="19.5" customHeight="1" spans="1:12">
      <c r="A20" s="355"/>
      <c r="B20" s="364"/>
      <c r="C20" s="357"/>
      <c r="D20" s="357"/>
      <c r="E20" s="433">
        <f t="shared" si="6"/>
        <v>22178970</v>
      </c>
      <c r="F20" s="358">
        <f>22776970-598000</f>
        <v>22178970</v>
      </c>
      <c r="G20" s="439">
        <v>0</v>
      </c>
      <c r="H20" s="358">
        <v>0</v>
      </c>
      <c r="I20" s="358">
        <v>0</v>
      </c>
      <c r="J20" s="358">
        <v>0</v>
      </c>
      <c r="K20" s="411" t="s">
        <v>96</v>
      </c>
      <c r="L20" s="85"/>
    </row>
    <row r="21" s="1" customFormat="1" ht="16.5" customHeight="1" spans="1:12">
      <c r="A21" s="365"/>
      <c r="B21" s="366"/>
      <c r="C21" s="357"/>
      <c r="D21" s="357"/>
      <c r="E21" s="431">
        <f t="shared" si="6"/>
        <v>65000000</v>
      </c>
      <c r="F21" s="358">
        <v>0</v>
      </c>
      <c r="G21" s="438">
        <v>65000000</v>
      </c>
      <c r="H21" s="358">
        <v>0</v>
      </c>
      <c r="I21" s="358">
        <v>0</v>
      </c>
      <c r="J21" s="358">
        <v>0</v>
      </c>
      <c r="K21" s="411" t="s">
        <v>118</v>
      </c>
      <c r="L21" s="85"/>
    </row>
    <row r="22" ht="18.75" spans="1:11">
      <c r="A22" s="315" t="s">
        <v>36</v>
      </c>
      <c r="B22" s="367" t="s">
        <v>37</v>
      </c>
      <c r="C22" s="367"/>
      <c r="D22" s="367"/>
      <c r="E22" s="367"/>
      <c r="F22" s="367"/>
      <c r="G22" s="367"/>
      <c r="H22" s="367"/>
      <c r="I22" s="367"/>
      <c r="J22" s="367"/>
      <c r="K22" s="367"/>
    </row>
    <row r="23" ht="18.75" spans="1:12">
      <c r="A23" s="368" t="s">
        <v>38</v>
      </c>
      <c r="B23" s="440" t="s">
        <v>80</v>
      </c>
      <c r="C23" s="441"/>
      <c r="D23" s="441"/>
      <c r="E23" s="442">
        <f t="shared" ref="E23:E49" si="8">F23+G23+H23+I23+J23</f>
        <v>287675348.75</v>
      </c>
      <c r="F23" s="442">
        <f>F24+F25+F26+F27</f>
        <v>138310399.39</v>
      </c>
      <c r="G23" s="442">
        <f t="shared" si="7"/>
        <v>74682474.68</v>
      </c>
      <c r="H23" s="442">
        <f t="shared" si="7"/>
        <v>74682474.68</v>
      </c>
      <c r="I23" s="442">
        <f t="shared" si="7"/>
        <v>0</v>
      </c>
      <c r="J23" s="442">
        <f t="shared" si="7"/>
        <v>0</v>
      </c>
      <c r="K23" s="470" t="s">
        <v>10</v>
      </c>
      <c r="L23" s="371">
        <f>L24+L25+L26+L27</f>
        <v>17057864.85</v>
      </c>
    </row>
    <row r="24" spans="1:12">
      <c r="A24" s="372"/>
      <c r="B24" s="443"/>
      <c r="C24" s="441"/>
      <c r="D24" s="441"/>
      <c r="E24" s="442">
        <f t="shared" si="8"/>
        <v>84818282.07</v>
      </c>
      <c r="F24" s="442">
        <f>F36</f>
        <v>84818282.07</v>
      </c>
      <c r="G24" s="442">
        <f t="shared" ref="G24:J24" si="9">G36</f>
        <v>0</v>
      </c>
      <c r="H24" s="442">
        <f t="shared" si="9"/>
        <v>0</v>
      </c>
      <c r="I24" s="442">
        <f t="shared" si="9"/>
        <v>0</v>
      </c>
      <c r="J24" s="442">
        <f t="shared" si="9"/>
        <v>0</v>
      </c>
      <c r="K24" s="442" t="s">
        <v>14</v>
      </c>
      <c r="L24" s="371">
        <f>L36</f>
        <v>0</v>
      </c>
    </row>
    <row r="25" spans="1:12">
      <c r="A25" s="372"/>
      <c r="B25" s="443"/>
      <c r="C25" s="444"/>
      <c r="D25" s="444"/>
      <c r="E25" s="442">
        <f t="shared" si="8"/>
        <v>174908904.67</v>
      </c>
      <c r="F25" s="442">
        <f>F29</f>
        <v>32086740.83</v>
      </c>
      <c r="G25" s="442">
        <f t="shared" ref="G25:J25" si="10">G29</f>
        <v>71411081.92</v>
      </c>
      <c r="H25" s="442">
        <f t="shared" si="10"/>
        <v>71411081.92</v>
      </c>
      <c r="I25" s="442">
        <f t="shared" si="10"/>
        <v>0</v>
      </c>
      <c r="J25" s="442">
        <f t="shared" si="10"/>
        <v>0</v>
      </c>
      <c r="K25" s="471" t="s">
        <v>15</v>
      </c>
      <c r="L25" s="371">
        <f>L29</f>
        <v>0</v>
      </c>
    </row>
    <row r="26" spans="1:14">
      <c r="A26" s="372"/>
      <c r="B26" s="443"/>
      <c r="C26" s="444"/>
      <c r="D26" s="444"/>
      <c r="E26" s="442">
        <f t="shared" si="8"/>
        <v>6266304.08</v>
      </c>
      <c r="F26" s="442">
        <f>F30+F37</f>
        <v>1849123.76</v>
      </c>
      <c r="G26" s="442">
        <f>G30+G37</f>
        <v>2208590.16</v>
      </c>
      <c r="H26" s="442">
        <f>H30+H37</f>
        <v>2208590.16</v>
      </c>
      <c r="I26" s="442">
        <f>I30+I37</f>
        <v>0</v>
      </c>
      <c r="J26" s="442">
        <f>J30+J37</f>
        <v>0</v>
      </c>
      <c r="K26" s="471" t="s">
        <v>16</v>
      </c>
      <c r="L26" s="371">
        <f>L30+L37</f>
        <v>0</v>
      </c>
      <c r="M26" s="94"/>
      <c r="N26" s="94"/>
    </row>
    <row r="27" spans="1:14">
      <c r="A27" s="375"/>
      <c r="B27" s="445"/>
      <c r="C27" s="444"/>
      <c r="D27" s="444"/>
      <c r="E27" s="442">
        <f t="shared" si="8"/>
        <v>21681857.93</v>
      </c>
      <c r="F27" s="442">
        <f>F38</f>
        <v>19556252.73</v>
      </c>
      <c r="G27" s="442">
        <f t="shared" ref="G27:J27" si="11">G38</f>
        <v>1062802.6</v>
      </c>
      <c r="H27" s="442">
        <f t="shared" si="11"/>
        <v>1062802.6</v>
      </c>
      <c r="I27" s="442">
        <f t="shared" si="11"/>
        <v>0</v>
      </c>
      <c r="J27" s="442">
        <f t="shared" si="11"/>
        <v>0</v>
      </c>
      <c r="K27" s="442" t="s">
        <v>17</v>
      </c>
      <c r="L27" s="371">
        <f>L38</f>
        <v>17057864.85</v>
      </c>
      <c r="M27" s="94"/>
      <c r="N27" s="94"/>
    </row>
    <row r="28" ht="15.75" spans="1:14">
      <c r="A28" s="377" t="s">
        <v>40</v>
      </c>
      <c r="B28" s="444" t="s">
        <v>81</v>
      </c>
      <c r="C28" s="446"/>
      <c r="D28" s="446"/>
      <c r="E28" s="442">
        <f t="shared" si="8"/>
        <v>180318458.42</v>
      </c>
      <c r="F28" s="447">
        <f>SUM(F29:F30)</f>
        <v>33079114.26</v>
      </c>
      <c r="G28" s="447">
        <f t="shared" ref="G28:J28" si="12">SUM(G29:G30)</f>
        <v>73619672.08</v>
      </c>
      <c r="H28" s="447">
        <f t="shared" si="12"/>
        <v>73619672.08</v>
      </c>
      <c r="I28" s="447">
        <f t="shared" si="12"/>
        <v>0</v>
      </c>
      <c r="J28" s="447">
        <f t="shared" si="12"/>
        <v>0</v>
      </c>
      <c r="K28" s="472" t="s">
        <v>10</v>
      </c>
      <c r="M28" s="94"/>
      <c r="N28" s="94"/>
    </row>
    <row r="29" ht="15.75" spans="1:11">
      <c r="A29" s="380"/>
      <c r="B29" s="444"/>
      <c r="C29" s="446"/>
      <c r="D29" s="446"/>
      <c r="E29" s="442">
        <f t="shared" si="8"/>
        <v>174908904.67</v>
      </c>
      <c r="F29" s="448">
        <f>F31+F32</f>
        <v>32086740.83</v>
      </c>
      <c r="G29" s="448">
        <f>G31+G32</f>
        <v>71411081.92</v>
      </c>
      <c r="H29" s="448">
        <f>H31+H32</f>
        <v>71411081.92</v>
      </c>
      <c r="I29" s="448">
        <f>I31+I32</f>
        <v>0</v>
      </c>
      <c r="J29" s="448">
        <f>J31+J32</f>
        <v>0</v>
      </c>
      <c r="K29" s="472" t="s">
        <v>15</v>
      </c>
    </row>
    <row r="30" ht="15.75" spans="1:11">
      <c r="A30" s="380"/>
      <c r="B30" s="444"/>
      <c r="C30" s="446"/>
      <c r="D30" s="446"/>
      <c r="E30" s="442">
        <f t="shared" si="8"/>
        <v>5409553.75</v>
      </c>
      <c r="F30" s="448">
        <f>F33+F34</f>
        <v>992373.43</v>
      </c>
      <c r="G30" s="448">
        <f>G33+G34</f>
        <v>2208590.16</v>
      </c>
      <c r="H30" s="448">
        <f>H33+H34</f>
        <v>2208590.16</v>
      </c>
      <c r="I30" s="448">
        <f>I33+I34</f>
        <v>0</v>
      </c>
      <c r="J30" s="448">
        <f>J33+J34</f>
        <v>0</v>
      </c>
      <c r="K30" s="472" t="s">
        <v>16</v>
      </c>
    </row>
    <row r="31" ht="15.75" spans="1:11">
      <c r="A31" s="377" t="s">
        <v>42</v>
      </c>
      <c r="B31" s="444" t="s">
        <v>43</v>
      </c>
      <c r="C31" s="449"/>
      <c r="D31" s="449"/>
      <c r="E31" s="442">
        <f t="shared" si="8"/>
        <v>166009963.37</v>
      </c>
      <c r="F31" s="450">
        <f>26400000-3212200.47</f>
        <v>23187799.53</v>
      </c>
      <c r="G31" s="450">
        <v>71411081.92</v>
      </c>
      <c r="H31" s="450">
        <v>71411081.92</v>
      </c>
      <c r="I31" s="450">
        <v>0</v>
      </c>
      <c r="J31" s="450">
        <v>0</v>
      </c>
      <c r="K31" s="473" t="s">
        <v>23</v>
      </c>
    </row>
    <row r="32" ht="15.75" spans="1:11">
      <c r="A32" s="380"/>
      <c r="B32" s="444"/>
      <c r="C32" s="449"/>
      <c r="D32" s="449"/>
      <c r="E32" s="442">
        <f t="shared" si="8"/>
        <v>8898941.3</v>
      </c>
      <c r="F32" s="450">
        <f>5686740.83+3212200.47</f>
        <v>8898941.3</v>
      </c>
      <c r="G32" s="450">
        <v>0</v>
      </c>
      <c r="H32" s="450">
        <v>0</v>
      </c>
      <c r="I32" s="450">
        <v>0</v>
      </c>
      <c r="J32" s="450">
        <v>0</v>
      </c>
      <c r="K32" s="473" t="s">
        <v>24</v>
      </c>
    </row>
    <row r="33" ht="15.75" spans="1:11">
      <c r="A33" s="380"/>
      <c r="B33" s="444"/>
      <c r="C33" s="449"/>
      <c r="D33" s="449"/>
      <c r="E33" s="442">
        <f t="shared" si="8"/>
        <v>5134328.76</v>
      </c>
      <c r="F33" s="450">
        <f>816494.85-99346.41</f>
        <v>717148.44</v>
      </c>
      <c r="G33" s="450">
        <v>2208590.16</v>
      </c>
      <c r="H33" s="450">
        <v>2208590.16</v>
      </c>
      <c r="I33" s="450">
        <v>0</v>
      </c>
      <c r="J33" s="450">
        <v>0</v>
      </c>
      <c r="K33" s="473" t="s">
        <v>44</v>
      </c>
    </row>
    <row r="34" ht="15.75" spans="1:11">
      <c r="A34" s="380"/>
      <c r="B34" s="444"/>
      <c r="C34" s="449"/>
      <c r="D34" s="449"/>
      <c r="E34" s="442">
        <f t="shared" si="8"/>
        <v>275224.99</v>
      </c>
      <c r="F34" s="450">
        <f>175878.58+99346.41</f>
        <v>275224.99</v>
      </c>
      <c r="G34" s="450">
        <v>0</v>
      </c>
      <c r="H34" s="450">
        <v>0</v>
      </c>
      <c r="I34" s="450">
        <v>0</v>
      </c>
      <c r="J34" s="450">
        <v>0</v>
      </c>
      <c r="K34" s="473" t="s">
        <v>45</v>
      </c>
    </row>
    <row r="35" ht="15.75" spans="1:11">
      <c r="A35" s="377" t="s">
        <v>48</v>
      </c>
      <c r="B35" s="451" t="s">
        <v>82</v>
      </c>
      <c r="C35" s="452"/>
      <c r="D35" s="452"/>
      <c r="E35" s="442">
        <f t="shared" si="8"/>
        <v>85675032.4</v>
      </c>
      <c r="F35" s="453">
        <f>SUM(F36:F37)</f>
        <v>85675032.4</v>
      </c>
      <c r="G35" s="453">
        <f t="shared" ref="G35:J35" si="13">SUM(G36:G37)</f>
        <v>0</v>
      </c>
      <c r="H35" s="453">
        <f t="shared" si="13"/>
        <v>0</v>
      </c>
      <c r="I35" s="453">
        <f t="shared" si="13"/>
        <v>0</v>
      </c>
      <c r="J35" s="453">
        <f t="shared" si="13"/>
        <v>0</v>
      </c>
      <c r="K35" s="474" t="s">
        <v>50</v>
      </c>
    </row>
    <row r="36" ht="15.75" spans="1:11">
      <c r="A36" s="380"/>
      <c r="B36" s="454"/>
      <c r="C36" s="452"/>
      <c r="D36" s="452"/>
      <c r="E36" s="442">
        <f t="shared" si="8"/>
        <v>84818282.07</v>
      </c>
      <c r="F36" s="455">
        <v>84818282.07</v>
      </c>
      <c r="G36" s="455">
        <v>0</v>
      </c>
      <c r="H36" s="455">
        <v>0</v>
      </c>
      <c r="I36" s="455">
        <v>0</v>
      </c>
      <c r="J36" s="455">
        <v>0</v>
      </c>
      <c r="K36" s="474" t="s">
        <v>20</v>
      </c>
    </row>
    <row r="37" ht="15.75" spans="1:11">
      <c r="A37" s="380"/>
      <c r="B37" s="454"/>
      <c r="C37" s="452"/>
      <c r="D37" s="452"/>
      <c r="E37" s="442">
        <f t="shared" si="8"/>
        <v>856750.33</v>
      </c>
      <c r="F37" s="455">
        <v>856750.33</v>
      </c>
      <c r="G37" s="455">
        <v>0</v>
      </c>
      <c r="H37" s="455">
        <v>0</v>
      </c>
      <c r="I37" s="455">
        <v>0</v>
      </c>
      <c r="J37" s="455">
        <v>0</v>
      </c>
      <c r="K37" s="474" t="s">
        <v>44</v>
      </c>
    </row>
    <row r="38" s="1" customFormat="1" ht="15.75" spans="1:12">
      <c r="A38" s="377" t="s">
        <v>83</v>
      </c>
      <c r="B38" s="451" t="s">
        <v>84</v>
      </c>
      <c r="C38" s="456"/>
      <c r="D38" s="456"/>
      <c r="E38" s="442">
        <f t="shared" si="8"/>
        <v>21681857.93</v>
      </c>
      <c r="F38" s="455">
        <f>F40+F39+F41</f>
        <v>19556252.73</v>
      </c>
      <c r="G38" s="455">
        <f>G40+G39</f>
        <v>1062802.6</v>
      </c>
      <c r="H38" s="455">
        <f>H40+H39</f>
        <v>1062802.6</v>
      </c>
      <c r="I38" s="455">
        <f>I40+I39</f>
        <v>0</v>
      </c>
      <c r="J38" s="455">
        <f>J40+J39</f>
        <v>0</v>
      </c>
      <c r="K38" s="475" t="s">
        <v>13</v>
      </c>
      <c r="L38" s="417">
        <f>L40+L39+L41</f>
        <v>17057864.85</v>
      </c>
    </row>
    <row r="39" s="1" customFormat="1" ht="15.75" spans="1:12">
      <c r="A39" s="380"/>
      <c r="B39" s="454"/>
      <c r="C39" s="456"/>
      <c r="D39" s="456"/>
      <c r="E39" s="442">
        <f t="shared" si="8"/>
        <v>14358252.73</v>
      </c>
      <c r="F39" s="455">
        <f>1800387.88+L39</f>
        <v>14358252.73</v>
      </c>
      <c r="G39" s="455">
        <v>0</v>
      </c>
      <c r="H39" s="455">
        <v>0</v>
      </c>
      <c r="I39" s="455">
        <v>0</v>
      </c>
      <c r="J39" s="455">
        <v>0</v>
      </c>
      <c r="K39" s="474" t="s">
        <v>29</v>
      </c>
      <c r="L39" s="85">
        <f>5500000+6500000+23484.85+75710.7+133771.91+324897.39</f>
        <v>12557864.85</v>
      </c>
    </row>
    <row r="40" s="1" customFormat="1" ht="15.75" spans="1:12">
      <c r="A40" s="380"/>
      <c r="B40" s="454"/>
      <c r="C40" s="456"/>
      <c r="D40" s="456"/>
      <c r="E40" s="442">
        <f t="shared" si="8"/>
        <v>6725605.2</v>
      </c>
      <c r="F40" s="455">
        <f>100000+L40</f>
        <v>4600000</v>
      </c>
      <c r="G40" s="455">
        <f>1069506.14-6703.54</f>
        <v>1062802.6</v>
      </c>
      <c r="H40" s="455">
        <f>1271892.85-209090.25</f>
        <v>1062802.6</v>
      </c>
      <c r="I40" s="455">
        <v>0</v>
      </c>
      <c r="J40" s="455">
        <v>0</v>
      </c>
      <c r="K40" s="474" t="s">
        <v>30</v>
      </c>
      <c r="L40" s="85">
        <v>4500000</v>
      </c>
    </row>
    <row r="41" s="1" customFormat="1" ht="15.75" spans="1:12">
      <c r="A41" s="380"/>
      <c r="B41" s="454"/>
      <c r="C41" s="456"/>
      <c r="D41" s="456"/>
      <c r="E41" s="442">
        <f t="shared" si="8"/>
        <v>598000</v>
      </c>
      <c r="F41" s="455">
        <v>598000</v>
      </c>
      <c r="G41" s="455">
        <v>0</v>
      </c>
      <c r="H41" s="455">
        <v>0</v>
      </c>
      <c r="I41" s="455">
        <v>0</v>
      </c>
      <c r="J41" s="455">
        <v>0</v>
      </c>
      <c r="K41" s="474" t="s">
        <v>101</v>
      </c>
      <c r="L41" s="85"/>
    </row>
    <row r="42" ht="18.75" spans="1:11">
      <c r="A42" s="315" t="s">
        <v>55</v>
      </c>
      <c r="B42" s="457" t="s">
        <v>56</v>
      </c>
      <c r="C42" s="457"/>
      <c r="D42" s="457"/>
      <c r="E42" s="457"/>
      <c r="F42" s="457"/>
      <c r="G42" s="457"/>
      <c r="H42" s="457"/>
      <c r="I42" s="457"/>
      <c r="J42" s="457"/>
      <c r="K42" s="457"/>
    </row>
    <row r="43" ht="15.75" spans="1:12">
      <c r="A43" s="387" t="s">
        <v>57</v>
      </c>
      <c r="B43" s="458" t="s">
        <v>85</v>
      </c>
      <c r="C43" s="459"/>
      <c r="D43" s="459"/>
      <c r="E43" s="460">
        <f t="shared" si="8"/>
        <v>9772726.79</v>
      </c>
      <c r="F43" s="391">
        <f>F44+F45</f>
        <v>9772726.79</v>
      </c>
      <c r="G43" s="461">
        <f t="shared" ref="G43:J43" si="14">G44+G45</f>
        <v>0</v>
      </c>
      <c r="H43" s="461">
        <f t="shared" si="14"/>
        <v>0</v>
      </c>
      <c r="I43" s="461">
        <f t="shared" si="14"/>
        <v>0</v>
      </c>
      <c r="J43" s="461">
        <f t="shared" si="14"/>
        <v>0</v>
      </c>
      <c r="K43" s="476" t="s">
        <v>10</v>
      </c>
      <c r="L43" s="419">
        <f>L44+L45</f>
        <v>-2348485.33</v>
      </c>
    </row>
    <row r="44" ht="15.75" spans="1:12">
      <c r="A44" s="392"/>
      <c r="B44" s="458"/>
      <c r="C44" s="459"/>
      <c r="D44" s="459"/>
      <c r="E44" s="460">
        <f t="shared" si="8"/>
        <v>9674999.52</v>
      </c>
      <c r="F44" s="391">
        <f>F46+F47</f>
        <v>9674999.52</v>
      </c>
      <c r="G44" s="461">
        <f t="shared" ref="G44:J44" si="15">G46+G47</f>
        <v>0</v>
      </c>
      <c r="H44" s="461">
        <f t="shared" si="15"/>
        <v>0</v>
      </c>
      <c r="I44" s="461">
        <f t="shared" si="15"/>
        <v>0</v>
      </c>
      <c r="J44" s="461">
        <f t="shared" si="15"/>
        <v>0</v>
      </c>
      <c r="K44" s="476" t="s">
        <v>15</v>
      </c>
      <c r="L44" s="419">
        <f>L46+L47</f>
        <v>-2325000.48</v>
      </c>
    </row>
    <row r="45" ht="15.75" spans="1:12">
      <c r="A45" s="392"/>
      <c r="B45" s="458"/>
      <c r="C45" s="459"/>
      <c r="D45" s="459"/>
      <c r="E45" s="460">
        <f t="shared" si="8"/>
        <v>97727.27</v>
      </c>
      <c r="F45" s="391">
        <f>F48+F49</f>
        <v>97727.27</v>
      </c>
      <c r="G45" s="461">
        <f t="shared" ref="G45:J45" si="16">G48+G49</f>
        <v>0</v>
      </c>
      <c r="H45" s="461">
        <f t="shared" si="16"/>
        <v>0</v>
      </c>
      <c r="I45" s="461">
        <f t="shared" si="16"/>
        <v>0</v>
      </c>
      <c r="J45" s="461">
        <f t="shared" si="16"/>
        <v>0</v>
      </c>
      <c r="K45" s="476" t="s">
        <v>16</v>
      </c>
      <c r="L45" s="419">
        <f>L48+L49</f>
        <v>-23484.85</v>
      </c>
    </row>
    <row r="46" ht="15.75" spans="1:12">
      <c r="A46" s="393" t="s">
        <v>59</v>
      </c>
      <c r="B46" s="462" t="s">
        <v>86</v>
      </c>
      <c r="C46" s="449"/>
      <c r="D46" s="449"/>
      <c r="E46" s="460">
        <f t="shared" si="8"/>
        <v>9674999.52</v>
      </c>
      <c r="F46" s="28">
        <v>9674999.52</v>
      </c>
      <c r="G46" s="450">
        <v>0</v>
      </c>
      <c r="H46" s="450">
        <v>0</v>
      </c>
      <c r="I46" s="450">
        <v>0</v>
      </c>
      <c r="J46" s="450">
        <v>0</v>
      </c>
      <c r="K46" s="477" t="s">
        <v>65</v>
      </c>
      <c r="L46" s="2">
        <v>-2325000.48</v>
      </c>
    </row>
    <row r="47" ht="15.75" spans="1:11">
      <c r="A47" s="393"/>
      <c r="B47" s="462"/>
      <c r="C47" s="449"/>
      <c r="D47" s="449"/>
      <c r="E47" s="460">
        <f t="shared" si="8"/>
        <v>0</v>
      </c>
      <c r="F47" s="28">
        <v>0</v>
      </c>
      <c r="G47" s="450">
        <v>0</v>
      </c>
      <c r="H47" s="450">
        <v>0</v>
      </c>
      <c r="I47" s="450">
        <v>0</v>
      </c>
      <c r="J47" s="450">
        <v>0</v>
      </c>
      <c r="K47" s="478" t="s">
        <v>67</v>
      </c>
    </row>
    <row r="48" ht="15.75" spans="1:12">
      <c r="A48" s="393"/>
      <c r="B48" s="462"/>
      <c r="C48" s="449"/>
      <c r="D48" s="449"/>
      <c r="E48" s="460">
        <f t="shared" si="8"/>
        <v>97727.27</v>
      </c>
      <c r="F48" s="28">
        <v>97727.27</v>
      </c>
      <c r="G48" s="450">
        <v>0</v>
      </c>
      <c r="H48" s="450">
        <v>0</v>
      </c>
      <c r="I48" s="450">
        <v>0</v>
      </c>
      <c r="J48" s="450">
        <v>0</v>
      </c>
      <c r="K48" s="477" t="s">
        <v>44</v>
      </c>
      <c r="L48" s="2">
        <v>-23484.85</v>
      </c>
    </row>
    <row r="49" ht="15.75" spans="1:11">
      <c r="A49" s="393"/>
      <c r="B49" s="463"/>
      <c r="C49" s="449"/>
      <c r="D49" s="449"/>
      <c r="E49" s="460">
        <f t="shared" si="8"/>
        <v>0</v>
      </c>
      <c r="F49" s="28">
        <v>0</v>
      </c>
      <c r="G49" s="450">
        <v>0</v>
      </c>
      <c r="H49" s="450">
        <v>0</v>
      </c>
      <c r="I49" s="450">
        <v>0</v>
      </c>
      <c r="J49" s="450">
        <v>0</v>
      </c>
      <c r="K49" s="478" t="s">
        <v>45</v>
      </c>
    </row>
    <row r="50" ht="18.75" customHeight="1" spans="1:12">
      <c r="A50" s="396" t="s">
        <v>70</v>
      </c>
      <c r="B50" s="397"/>
      <c r="C50" s="397"/>
      <c r="D50" s="398"/>
      <c r="E50" s="464">
        <f t="shared" ref="E50:E54" si="17">SUM(F50:J50)</f>
        <v>582489493.82</v>
      </c>
      <c r="F50" s="464">
        <f>F51+F52+F53+F54</f>
        <v>312647202.76</v>
      </c>
      <c r="G50" s="464">
        <f>G51+G52+G53+G54</f>
        <v>195159816.38</v>
      </c>
      <c r="H50" s="279">
        <f t="shared" ref="H50:J50" si="18">H51+H52+H53+H54</f>
        <v>74682474.68</v>
      </c>
      <c r="I50" s="279">
        <f t="shared" si="18"/>
        <v>0</v>
      </c>
      <c r="J50" s="279">
        <f t="shared" si="18"/>
        <v>0</v>
      </c>
      <c r="K50" s="340"/>
      <c r="L50" s="278">
        <f>L51+L52+L53+L54</f>
        <v>14709379.52</v>
      </c>
    </row>
    <row r="51" ht="18.75" spans="1:12">
      <c r="A51" s="399"/>
      <c r="B51" s="400"/>
      <c r="C51" s="400"/>
      <c r="D51" s="401"/>
      <c r="E51" s="464">
        <f t="shared" si="17"/>
        <v>265766855.39</v>
      </c>
      <c r="F51" s="465">
        <f>F5+F24</f>
        <v>226297399.5</v>
      </c>
      <c r="G51" s="465">
        <f>G5+G24</f>
        <v>39469455.89</v>
      </c>
      <c r="H51" s="280">
        <f>H5+H24</f>
        <v>0</v>
      </c>
      <c r="I51" s="280">
        <f>I5+I24</f>
        <v>0</v>
      </c>
      <c r="J51" s="280">
        <f>J5+J24</f>
        <v>0</v>
      </c>
      <c r="K51" s="420" t="s">
        <v>14</v>
      </c>
      <c r="L51" s="280">
        <f>L5+L24</f>
        <v>0</v>
      </c>
    </row>
    <row r="52" ht="18.75" spans="1:12">
      <c r="A52" s="399"/>
      <c r="B52" s="400"/>
      <c r="C52" s="400"/>
      <c r="D52" s="401"/>
      <c r="E52" s="464">
        <f t="shared" si="17"/>
        <v>186113466.91</v>
      </c>
      <c r="F52" s="465">
        <f t="shared" ref="F52:J53" si="19">F6+F25+F44</f>
        <v>42485803.97</v>
      </c>
      <c r="G52" s="465">
        <f t="shared" si="19"/>
        <v>72216581.02</v>
      </c>
      <c r="H52" s="280">
        <f t="shared" si="19"/>
        <v>71411081.92</v>
      </c>
      <c r="I52" s="280">
        <f t="shared" si="19"/>
        <v>0</v>
      </c>
      <c r="J52" s="280">
        <f t="shared" si="19"/>
        <v>0</v>
      </c>
      <c r="K52" s="420" t="s">
        <v>71</v>
      </c>
      <c r="L52" s="281">
        <f t="shared" ref="L52:L53" si="20">L6+L25+L44</f>
        <v>-2325000.48</v>
      </c>
    </row>
    <row r="53" ht="18.75" customHeight="1" spans="1:12">
      <c r="A53" s="399"/>
      <c r="B53" s="400"/>
      <c r="C53" s="400"/>
      <c r="D53" s="401"/>
      <c r="E53" s="464">
        <f t="shared" si="17"/>
        <v>6748343.59</v>
      </c>
      <c r="F53" s="465">
        <f t="shared" si="19"/>
        <v>2128776.56</v>
      </c>
      <c r="G53" s="465">
        <f t="shared" si="19"/>
        <v>2410976.87</v>
      </c>
      <c r="H53" s="280">
        <f t="shared" si="19"/>
        <v>2208590.16</v>
      </c>
      <c r="I53" s="280">
        <f t="shared" si="19"/>
        <v>0</v>
      </c>
      <c r="J53" s="280">
        <f t="shared" si="19"/>
        <v>0</v>
      </c>
      <c r="K53" s="287" t="s">
        <v>16</v>
      </c>
      <c r="L53" s="281">
        <f t="shared" si="20"/>
        <v>-23484.85</v>
      </c>
    </row>
    <row r="54" ht="18.75" customHeight="1" spans="1:12">
      <c r="A54" s="402"/>
      <c r="B54" s="403"/>
      <c r="C54" s="403"/>
      <c r="D54" s="404"/>
      <c r="E54" s="464">
        <f t="shared" si="17"/>
        <v>123860827.93</v>
      </c>
      <c r="F54" s="466">
        <f>F27+F8</f>
        <v>41735222.73</v>
      </c>
      <c r="G54" s="466">
        <f>G27+G8</f>
        <v>81062802.6</v>
      </c>
      <c r="H54" s="282">
        <f t="shared" ref="H54:J54" si="21">H27</f>
        <v>1062802.6</v>
      </c>
      <c r="I54" s="282">
        <f t="shared" si="21"/>
        <v>0</v>
      </c>
      <c r="J54" s="282">
        <f t="shared" si="21"/>
        <v>0</v>
      </c>
      <c r="K54" s="287" t="s">
        <v>73</v>
      </c>
      <c r="L54" s="283">
        <f>L27+L8</f>
        <v>17057864.85</v>
      </c>
    </row>
    <row r="55" ht="18.75" spans="1:11">
      <c r="A55" s="284" t="s">
        <v>116</v>
      </c>
      <c r="B55" s="284"/>
      <c r="C55" s="284"/>
      <c r="D55" s="284"/>
      <c r="E55" s="323"/>
      <c r="F55" s="323"/>
      <c r="G55" s="323"/>
      <c r="H55" s="323"/>
      <c r="I55" s="323"/>
      <c r="J55" s="323"/>
      <c r="K55" s="340"/>
    </row>
    <row r="56" ht="15.75" spans="2:11">
      <c r="B56" s="467"/>
      <c r="C56" s="467"/>
      <c r="D56" s="467"/>
      <c r="E56" s="2">
        <f>E53+E54</f>
        <v>130609171.52</v>
      </c>
      <c r="J56" s="479"/>
      <c r="K56" s="479"/>
    </row>
    <row r="57" ht="15.75" spans="9:11">
      <c r="I57" s="3" t="s">
        <v>87</v>
      </c>
      <c r="J57" s="480"/>
      <c r="K57" s="480">
        <v>178063747.64</v>
      </c>
    </row>
    <row r="58" s="1" customFormat="1" ht="15.75" spans="1:12">
      <c r="A58" s="3"/>
      <c r="B58" s="3"/>
      <c r="C58" s="3"/>
      <c r="D58" s="3"/>
      <c r="E58" s="3"/>
      <c r="F58" s="3"/>
      <c r="G58" s="3"/>
      <c r="H58" s="3"/>
      <c r="I58" s="3" t="s">
        <v>88</v>
      </c>
      <c r="J58" s="480"/>
      <c r="K58" s="480">
        <v>506829756.46</v>
      </c>
      <c r="L58" s="85"/>
    </row>
    <row r="59" s="1" customFormat="1" ht="15.75" spans="1:12">
      <c r="A59" s="3"/>
      <c r="B59" s="3"/>
      <c r="C59" s="3"/>
      <c r="D59" s="3"/>
      <c r="E59" s="2">
        <f>L50</f>
        <v>14709379.52</v>
      </c>
      <c r="F59" s="3"/>
      <c r="G59" s="3"/>
      <c r="H59" s="3"/>
      <c r="I59" s="3"/>
      <c r="J59" s="480"/>
      <c r="K59" s="481">
        <f>E50+K57+K58</f>
        <v>1267382997.92</v>
      </c>
      <c r="L59" s="85"/>
    </row>
  </sheetData>
  <mergeCells count="23">
    <mergeCell ref="B22:K22"/>
    <mergeCell ref="B42:K42"/>
    <mergeCell ref="A55:D55"/>
    <mergeCell ref="A4:A7"/>
    <mergeCell ref="A9:A16"/>
    <mergeCell ref="A17:A20"/>
    <mergeCell ref="A23:A27"/>
    <mergeCell ref="A28:A30"/>
    <mergeCell ref="A31:A34"/>
    <mergeCell ref="A35:A37"/>
    <mergeCell ref="A38:A41"/>
    <mergeCell ref="A43:A45"/>
    <mergeCell ref="A46:A49"/>
    <mergeCell ref="B4:B7"/>
    <mergeCell ref="B9:B16"/>
    <mergeCell ref="B17:B20"/>
    <mergeCell ref="B23:B27"/>
    <mergeCell ref="B28:B30"/>
    <mergeCell ref="B31:B34"/>
    <mergeCell ref="B35:B37"/>
    <mergeCell ref="B38:B41"/>
    <mergeCell ref="B43:B45"/>
    <mergeCell ref="B46:B49"/>
  </mergeCells>
  <pageMargins left="0.118110236220472" right="0.118110236220472" top="0.15748031496063" bottom="0.15748031496063" header="0.31496062992126" footer="0.31496062992126"/>
  <pageSetup paperSize="9" scale="70" fitToHeight="0" orientation="portrait" blackAndWhite="1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9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9" width="14.2857142857143" style="3" customWidth="1"/>
    <col min="10" max="10" width="9.14285714285714" style="3" customWidth="1"/>
    <col min="11" max="11" width="17.2857142857143" style="4" customWidth="1"/>
    <col min="12" max="12" width="0.285714285714286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58.5" customHeight="1" spans="1:14">
      <c r="A1" s="344" t="s">
        <v>0</v>
      </c>
      <c r="B1" s="345" t="s">
        <v>1</v>
      </c>
      <c r="C1" s="345" t="s">
        <v>2</v>
      </c>
      <c r="D1" s="345" t="s">
        <v>3</v>
      </c>
      <c r="E1" s="345" t="s">
        <v>4</v>
      </c>
      <c r="F1" s="346">
        <v>2023</v>
      </c>
      <c r="G1" s="346">
        <v>2024</v>
      </c>
      <c r="H1" s="347">
        <v>2025</v>
      </c>
      <c r="I1" s="346">
        <v>2026</v>
      </c>
      <c r="J1" s="346">
        <v>2027</v>
      </c>
      <c r="K1" s="405" t="s">
        <v>119</v>
      </c>
      <c r="L1" s="406"/>
      <c r="M1" s="406"/>
      <c r="N1" s="406"/>
    </row>
    <row r="2" spans="1:11">
      <c r="A2" s="19">
        <v>1</v>
      </c>
      <c r="B2" s="19">
        <v>2</v>
      </c>
      <c r="C2" s="19">
        <v>3</v>
      </c>
      <c r="D2" s="19">
        <v>4</v>
      </c>
      <c r="E2" s="19">
        <v>5</v>
      </c>
      <c r="F2" s="19">
        <v>6</v>
      </c>
      <c r="G2" s="19">
        <v>7</v>
      </c>
      <c r="H2" s="19">
        <v>8</v>
      </c>
      <c r="I2" s="19">
        <v>9</v>
      </c>
      <c r="J2" s="19">
        <v>10</v>
      </c>
      <c r="K2" s="19">
        <v>11</v>
      </c>
    </row>
    <row r="3" s="1" customFormat="1" ht="19.5" spans="1:12">
      <c r="A3" s="301" t="s">
        <v>6</v>
      </c>
      <c r="B3" s="348" t="s">
        <v>7</v>
      </c>
      <c r="C3" s="349"/>
      <c r="D3" s="349"/>
      <c r="E3" s="349"/>
      <c r="F3" s="315"/>
      <c r="G3" s="315"/>
      <c r="H3" s="349"/>
      <c r="I3" s="315"/>
      <c r="J3" s="315"/>
      <c r="K3" s="407"/>
      <c r="L3" s="85"/>
    </row>
    <row r="4" s="1" customFormat="1" ht="15.75" spans="1:12">
      <c r="A4" s="350" t="s">
        <v>8</v>
      </c>
      <c r="B4" s="351" t="s">
        <v>77</v>
      </c>
      <c r="C4" s="352"/>
      <c r="D4" s="352"/>
      <c r="E4" s="353">
        <f>F4+G4+H4+I4+J4</f>
        <v>285041418.28</v>
      </c>
      <c r="F4" s="354">
        <f>SUM(F5:F8)</f>
        <v>164564076.58</v>
      </c>
      <c r="G4" s="354">
        <f>SUM(G5:G8)</f>
        <v>120477341.7</v>
      </c>
      <c r="H4" s="354">
        <f t="shared" ref="H4:J4" si="0">SUM(H5:H8)</f>
        <v>0</v>
      </c>
      <c r="I4" s="354">
        <f t="shared" si="0"/>
        <v>0</v>
      </c>
      <c r="J4" s="354">
        <f t="shared" si="0"/>
        <v>0</v>
      </c>
      <c r="K4" s="408" t="s">
        <v>13</v>
      </c>
      <c r="L4" s="85"/>
    </row>
    <row r="5" s="1" customFormat="1" ht="15.75" spans="1:12">
      <c r="A5" s="355"/>
      <c r="B5" s="352"/>
      <c r="C5" s="352"/>
      <c r="D5" s="352"/>
      <c r="E5" s="353">
        <f t="shared" ref="E5:E12" si="1">SUM(F5:J5)</f>
        <v>180948573.32</v>
      </c>
      <c r="F5" s="354">
        <f>F10+F11+F18+F19</f>
        <v>141479117.43</v>
      </c>
      <c r="G5" s="354">
        <f>G10+G11+G18+G19</f>
        <v>39469455.89</v>
      </c>
      <c r="H5" s="354">
        <f t="shared" ref="H5:J5" si="2">H10+H11+H18+H19</f>
        <v>0</v>
      </c>
      <c r="I5" s="354">
        <f t="shared" si="2"/>
        <v>0</v>
      </c>
      <c r="J5" s="354">
        <f t="shared" si="2"/>
        <v>0</v>
      </c>
      <c r="K5" s="409" t="s">
        <v>78</v>
      </c>
      <c r="L5" s="85"/>
    </row>
    <row r="6" s="1" customFormat="1" ht="15.75" spans="1:12">
      <c r="A6" s="355"/>
      <c r="B6" s="352"/>
      <c r="C6" s="352"/>
      <c r="D6" s="352"/>
      <c r="E6" s="353">
        <f t="shared" si="1"/>
        <v>1529562.72</v>
      </c>
      <c r="F6" s="354">
        <f>F12+F13</f>
        <v>724063.62</v>
      </c>
      <c r="G6" s="354">
        <f>G12+G13</f>
        <v>805499.1</v>
      </c>
      <c r="H6" s="354">
        <f t="shared" ref="H6:J6" si="3">H12+H13</f>
        <v>0</v>
      </c>
      <c r="I6" s="354">
        <f t="shared" si="3"/>
        <v>0</v>
      </c>
      <c r="J6" s="354">
        <f t="shared" si="3"/>
        <v>0</v>
      </c>
      <c r="K6" s="409" t="s">
        <v>71</v>
      </c>
      <c r="L6" s="85"/>
    </row>
    <row r="7" s="1" customFormat="1" ht="15.75" spans="1:12">
      <c r="A7" s="355"/>
      <c r="B7" s="352"/>
      <c r="C7" s="352"/>
      <c r="D7" s="352"/>
      <c r="E7" s="353">
        <f t="shared" si="1"/>
        <v>384312.24</v>
      </c>
      <c r="F7" s="354">
        <f>F14+F15</f>
        <v>181925.53</v>
      </c>
      <c r="G7" s="354">
        <f>G14+G15</f>
        <v>202386.71</v>
      </c>
      <c r="H7" s="354">
        <f t="shared" ref="H7:J7" si="4">H14+H15</f>
        <v>0</v>
      </c>
      <c r="I7" s="354">
        <f t="shared" si="4"/>
        <v>0</v>
      </c>
      <c r="J7" s="354">
        <f t="shared" si="4"/>
        <v>0</v>
      </c>
      <c r="K7" s="409" t="s">
        <v>16</v>
      </c>
      <c r="L7" s="85"/>
    </row>
    <row r="8" s="1" customFormat="1" ht="16.5" spans="1:12">
      <c r="A8" s="355"/>
      <c r="B8" s="352"/>
      <c r="C8" s="352"/>
      <c r="D8" s="352"/>
      <c r="E8" s="353">
        <f t="shared" si="1"/>
        <v>102178970</v>
      </c>
      <c r="F8" s="354">
        <f>F20+F21</f>
        <v>22178970</v>
      </c>
      <c r="G8" s="354">
        <f>G20+G21+G16</f>
        <v>80000000</v>
      </c>
      <c r="H8" s="354">
        <v>0</v>
      </c>
      <c r="I8" s="354">
        <v>0</v>
      </c>
      <c r="J8" s="354">
        <v>0</v>
      </c>
      <c r="K8" s="409" t="s">
        <v>73</v>
      </c>
      <c r="L8" s="85"/>
    </row>
    <row r="9" s="1" customFormat="1" ht="15.75" spans="1:12">
      <c r="A9" s="350" t="s">
        <v>11</v>
      </c>
      <c r="B9" s="356" t="s">
        <v>79</v>
      </c>
      <c r="C9" s="352"/>
      <c r="D9" s="352"/>
      <c r="E9" s="353">
        <f t="shared" si="1"/>
        <v>91862448.28</v>
      </c>
      <c r="F9" s="354">
        <f>F10+F11+F12+F13+F14+F16</f>
        <v>36385106.58</v>
      </c>
      <c r="G9" s="354">
        <f>G10+G11+G12+G13+G14+G16+G15</f>
        <v>55477341.7</v>
      </c>
      <c r="H9" s="354">
        <f t="shared" ref="H9:J9" si="5">H10+H11+H12+H13+H14+H16</f>
        <v>0</v>
      </c>
      <c r="I9" s="354">
        <f t="shared" si="5"/>
        <v>0</v>
      </c>
      <c r="J9" s="354">
        <f t="shared" si="5"/>
        <v>0</v>
      </c>
      <c r="K9" s="408" t="s">
        <v>13</v>
      </c>
      <c r="L9" s="85"/>
    </row>
    <row r="10" s="1" customFormat="1" ht="15.75" spans="1:12">
      <c r="A10" s="355"/>
      <c r="B10" s="357"/>
      <c r="C10" s="357"/>
      <c r="D10" s="357"/>
      <c r="E10" s="353">
        <f t="shared" si="1"/>
        <v>74948573.32</v>
      </c>
      <c r="F10" s="358">
        <v>35479117.43</v>
      </c>
      <c r="G10" s="359">
        <v>39469455.89</v>
      </c>
      <c r="H10" s="360">
        <v>0</v>
      </c>
      <c r="I10" s="410">
        <v>0</v>
      </c>
      <c r="J10" s="410">
        <v>0</v>
      </c>
      <c r="K10" s="411" t="s">
        <v>20</v>
      </c>
      <c r="L10" s="85"/>
    </row>
    <row r="11" s="1" customFormat="1" ht="15.75" spans="1:12">
      <c r="A11" s="355"/>
      <c r="B11" s="357"/>
      <c r="C11" s="357"/>
      <c r="D11" s="357"/>
      <c r="E11" s="353">
        <f t="shared" si="1"/>
        <v>0</v>
      </c>
      <c r="F11" s="361">
        <v>0</v>
      </c>
      <c r="G11" s="361">
        <v>0</v>
      </c>
      <c r="H11" s="361">
        <v>0</v>
      </c>
      <c r="I11" s="361">
        <v>0</v>
      </c>
      <c r="J11" s="361">
        <v>0</v>
      </c>
      <c r="K11" s="412" t="s">
        <v>21</v>
      </c>
      <c r="L11" s="85"/>
    </row>
    <row r="12" s="1" customFormat="1" ht="15.75" spans="1:12">
      <c r="A12" s="355"/>
      <c r="B12" s="357"/>
      <c r="C12" s="357"/>
      <c r="D12" s="357"/>
      <c r="E12" s="353">
        <f t="shared" si="1"/>
        <v>1529562.72</v>
      </c>
      <c r="F12" s="359">
        <v>724063.62</v>
      </c>
      <c r="G12" s="359">
        <v>805499.1</v>
      </c>
      <c r="H12" s="359">
        <v>0</v>
      </c>
      <c r="I12" s="359">
        <v>0</v>
      </c>
      <c r="J12" s="359">
        <v>0</v>
      </c>
      <c r="K12" s="411" t="s">
        <v>23</v>
      </c>
      <c r="L12" s="85"/>
    </row>
    <row r="13" s="1" customFormat="1" ht="15.75" spans="1:12">
      <c r="A13" s="355"/>
      <c r="B13" s="357"/>
      <c r="C13" s="357"/>
      <c r="D13" s="357"/>
      <c r="E13" s="353">
        <f t="shared" ref="E13:E21" si="6">SUM(F13:J13)</f>
        <v>0</v>
      </c>
      <c r="F13" s="361">
        <v>0</v>
      </c>
      <c r="G13" s="361">
        <v>0</v>
      </c>
      <c r="H13" s="361">
        <v>0</v>
      </c>
      <c r="I13" s="361">
        <v>0</v>
      </c>
      <c r="J13" s="361">
        <v>0</v>
      </c>
      <c r="K13" s="412" t="s">
        <v>24</v>
      </c>
      <c r="L13" s="85"/>
    </row>
    <row r="14" s="1" customFormat="1" ht="15.75" spans="1:12">
      <c r="A14" s="355"/>
      <c r="B14" s="357"/>
      <c r="C14" s="357"/>
      <c r="D14" s="357"/>
      <c r="E14" s="353">
        <f t="shared" si="6"/>
        <v>384312.24</v>
      </c>
      <c r="F14" s="359">
        <v>181925.53</v>
      </c>
      <c r="G14" s="359">
        <v>202386.71</v>
      </c>
      <c r="H14" s="359">
        <v>0</v>
      </c>
      <c r="I14" s="359">
        <v>0</v>
      </c>
      <c r="J14" s="359">
        <v>0</v>
      </c>
      <c r="K14" s="411" t="s">
        <v>26</v>
      </c>
      <c r="L14" s="85"/>
    </row>
    <row r="15" s="1" customFormat="1" ht="15.75" spans="1:12">
      <c r="A15" s="355"/>
      <c r="B15" s="357"/>
      <c r="C15" s="357"/>
      <c r="D15" s="357"/>
      <c r="E15" s="353">
        <f t="shared" si="6"/>
        <v>0</v>
      </c>
      <c r="F15" s="359">
        <v>0</v>
      </c>
      <c r="G15" s="359">
        <v>0</v>
      </c>
      <c r="H15" s="359">
        <v>0</v>
      </c>
      <c r="I15" s="359">
        <v>0</v>
      </c>
      <c r="J15" s="359">
        <v>0</v>
      </c>
      <c r="K15" s="411" t="s">
        <v>45</v>
      </c>
      <c r="L15" s="85"/>
    </row>
    <row r="16" s="1" customFormat="1" ht="16.5" spans="1:12">
      <c r="A16" s="362"/>
      <c r="B16" s="363"/>
      <c r="C16" s="357"/>
      <c r="D16" s="357"/>
      <c r="E16" s="353">
        <f t="shared" si="6"/>
        <v>15000000</v>
      </c>
      <c r="F16" s="361">
        <v>0</v>
      </c>
      <c r="G16" s="361">
        <v>15000000</v>
      </c>
      <c r="H16" s="361">
        <v>0</v>
      </c>
      <c r="I16" s="361">
        <v>0</v>
      </c>
      <c r="J16" s="361">
        <v>0</v>
      </c>
      <c r="K16" s="412" t="s">
        <v>29</v>
      </c>
      <c r="L16" s="85"/>
    </row>
    <row r="17" s="1" customFormat="1" ht="15.75" spans="1:12">
      <c r="A17" s="350" t="s">
        <v>91</v>
      </c>
      <c r="B17" s="356" t="s">
        <v>92</v>
      </c>
      <c r="C17" s="357"/>
      <c r="D17" s="357"/>
      <c r="E17" s="353">
        <f t="shared" si="6"/>
        <v>193178970</v>
      </c>
      <c r="F17" s="361">
        <f>F18+F19+F20+F21</f>
        <v>128178970</v>
      </c>
      <c r="G17" s="361">
        <f>G18+G19+G20+G21</f>
        <v>65000000</v>
      </c>
      <c r="H17" s="361">
        <f t="shared" ref="H17:J17" si="7">H18+H19+H20+H21</f>
        <v>0</v>
      </c>
      <c r="I17" s="361">
        <f t="shared" si="7"/>
        <v>0</v>
      </c>
      <c r="J17" s="361">
        <f t="shared" si="7"/>
        <v>0</v>
      </c>
      <c r="K17" s="412" t="s">
        <v>13</v>
      </c>
      <c r="L17" s="85"/>
    </row>
    <row r="18" s="1" customFormat="1" ht="15.75" spans="1:12">
      <c r="A18" s="355"/>
      <c r="B18" s="357"/>
      <c r="C18" s="357"/>
      <c r="D18" s="357"/>
      <c r="E18" s="353">
        <f t="shared" si="6"/>
        <v>63133615.4</v>
      </c>
      <c r="F18" s="358">
        <f>106000000-37799322.82-5067061.78</f>
        <v>63133615.4</v>
      </c>
      <c r="G18" s="358">
        <v>0</v>
      </c>
      <c r="H18" s="358">
        <v>0</v>
      </c>
      <c r="I18" s="358">
        <v>0</v>
      </c>
      <c r="J18" s="358">
        <v>0</v>
      </c>
      <c r="K18" s="411" t="s">
        <v>95</v>
      </c>
      <c r="L18" s="85"/>
    </row>
    <row r="19" s="1" customFormat="1" ht="15.75" spans="1:12">
      <c r="A19" s="355"/>
      <c r="B19" s="357"/>
      <c r="C19" s="357"/>
      <c r="D19" s="357"/>
      <c r="E19" s="353">
        <f t="shared" si="6"/>
        <v>42866384.6</v>
      </c>
      <c r="F19" s="358">
        <f>37799322.82+5067061.78</f>
        <v>42866384.6</v>
      </c>
      <c r="G19" s="358">
        <v>0</v>
      </c>
      <c r="H19" s="358">
        <v>0</v>
      </c>
      <c r="I19" s="358">
        <v>0</v>
      </c>
      <c r="J19" s="358">
        <v>0</v>
      </c>
      <c r="K19" s="411" t="s">
        <v>117</v>
      </c>
      <c r="L19" s="85"/>
    </row>
    <row r="20" s="1" customFormat="1" ht="19.5" customHeight="1" spans="1:12">
      <c r="A20" s="355"/>
      <c r="B20" s="364"/>
      <c r="C20" s="357"/>
      <c r="D20" s="357"/>
      <c r="E20" s="353">
        <f t="shared" si="6"/>
        <v>85756112.89</v>
      </c>
      <c r="F20" s="358">
        <f>(22776970-598000)-1422857.11</f>
        <v>20756112.89</v>
      </c>
      <c r="G20" s="358">
        <v>65000000</v>
      </c>
      <c r="H20" s="358">
        <v>0</v>
      </c>
      <c r="I20" s="358">
        <v>0</v>
      </c>
      <c r="J20" s="358">
        <v>0</v>
      </c>
      <c r="K20" s="411" t="s">
        <v>96</v>
      </c>
      <c r="L20" s="85"/>
    </row>
    <row r="21" s="1" customFormat="1" ht="16.5" customHeight="1" spans="1:12">
      <c r="A21" s="365"/>
      <c r="B21" s="366"/>
      <c r="C21" s="357"/>
      <c r="D21" s="357"/>
      <c r="E21" s="353">
        <f t="shared" si="6"/>
        <v>1422857.11</v>
      </c>
      <c r="F21" s="358">
        <v>1422857.11</v>
      </c>
      <c r="G21" s="358">
        <v>0</v>
      </c>
      <c r="H21" s="358">
        <v>0</v>
      </c>
      <c r="I21" s="358">
        <v>0</v>
      </c>
      <c r="J21" s="358">
        <v>0</v>
      </c>
      <c r="K21" s="411" t="s">
        <v>118</v>
      </c>
      <c r="L21" s="85"/>
    </row>
    <row r="22" ht="18.75" spans="1:11">
      <c r="A22" s="315" t="s">
        <v>36</v>
      </c>
      <c r="B22" s="367" t="s">
        <v>37</v>
      </c>
      <c r="C22" s="367"/>
      <c r="D22" s="367"/>
      <c r="E22" s="367"/>
      <c r="F22" s="367"/>
      <c r="G22" s="367"/>
      <c r="H22" s="367"/>
      <c r="I22" s="367"/>
      <c r="J22" s="367"/>
      <c r="K22" s="367"/>
    </row>
    <row r="23" ht="18.75" spans="1:12">
      <c r="A23" s="368" t="s">
        <v>38</v>
      </c>
      <c r="B23" s="369" t="s">
        <v>80</v>
      </c>
      <c r="C23" s="370"/>
      <c r="D23" s="370"/>
      <c r="E23" s="371">
        <f t="shared" ref="E23:E49" si="8">F23+G23+H23+I23+J23</f>
        <v>287675348.75</v>
      </c>
      <c r="F23" s="371">
        <f>F24+F25+F26+F27</f>
        <v>138310399.39</v>
      </c>
      <c r="G23" s="371">
        <f t="shared" ref="G23:H23" si="9">G24+G25+G26+G27</f>
        <v>74682474.68</v>
      </c>
      <c r="H23" s="371">
        <f t="shared" si="9"/>
        <v>74682474.68</v>
      </c>
      <c r="I23" s="371">
        <f t="shared" ref="I23:J23" si="10">I24+I25+I26+I27</f>
        <v>0</v>
      </c>
      <c r="J23" s="371">
        <f t="shared" si="10"/>
        <v>0</v>
      </c>
      <c r="K23" s="413" t="s">
        <v>10</v>
      </c>
      <c r="L23" s="371">
        <f>L24+L25+L26+L27</f>
        <v>17057864.85</v>
      </c>
    </row>
    <row r="24" spans="1:12">
      <c r="A24" s="372"/>
      <c r="B24" s="373"/>
      <c r="C24" s="370"/>
      <c r="D24" s="370"/>
      <c r="E24" s="371">
        <f t="shared" si="8"/>
        <v>84818282.07</v>
      </c>
      <c r="F24" s="371">
        <f>F36</f>
        <v>84818282.07</v>
      </c>
      <c r="G24" s="371">
        <f t="shared" ref="G24:H24" si="11">G36</f>
        <v>0</v>
      </c>
      <c r="H24" s="371">
        <f t="shared" si="11"/>
        <v>0</v>
      </c>
      <c r="I24" s="371">
        <f t="shared" ref="I24:J24" si="12">I36</f>
        <v>0</v>
      </c>
      <c r="J24" s="371">
        <f t="shared" si="12"/>
        <v>0</v>
      </c>
      <c r="K24" s="371" t="s">
        <v>14</v>
      </c>
      <c r="L24" s="371">
        <f>L36</f>
        <v>0</v>
      </c>
    </row>
    <row r="25" spans="1:12">
      <c r="A25" s="372"/>
      <c r="B25" s="373"/>
      <c r="C25" s="374"/>
      <c r="D25" s="374"/>
      <c r="E25" s="371">
        <f t="shared" si="8"/>
        <v>174908904.67</v>
      </c>
      <c r="F25" s="371">
        <f>F29</f>
        <v>32086740.83</v>
      </c>
      <c r="G25" s="371">
        <f t="shared" ref="G25:H25" si="13">G29</f>
        <v>71411081.92</v>
      </c>
      <c r="H25" s="371">
        <f t="shared" si="13"/>
        <v>71411081.92</v>
      </c>
      <c r="I25" s="371">
        <f t="shared" ref="I25:J25" si="14">I29</f>
        <v>0</v>
      </c>
      <c r="J25" s="371">
        <f t="shared" si="14"/>
        <v>0</v>
      </c>
      <c r="K25" s="261" t="s">
        <v>15</v>
      </c>
      <c r="L25" s="371">
        <f>L29</f>
        <v>0</v>
      </c>
    </row>
    <row r="26" spans="1:14">
      <c r="A26" s="372"/>
      <c r="B26" s="373"/>
      <c r="C26" s="374"/>
      <c r="D26" s="374"/>
      <c r="E26" s="371">
        <f t="shared" si="8"/>
        <v>6266304.08</v>
      </c>
      <c r="F26" s="371">
        <f>F30+F37</f>
        <v>1849123.76</v>
      </c>
      <c r="G26" s="371">
        <f t="shared" ref="G26:J26" si="15">G30+G37</f>
        <v>2208590.16</v>
      </c>
      <c r="H26" s="371">
        <f t="shared" si="15"/>
        <v>2208590.16</v>
      </c>
      <c r="I26" s="371">
        <f t="shared" si="15"/>
        <v>0</v>
      </c>
      <c r="J26" s="371">
        <f t="shared" si="15"/>
        <v>0</v>
      </c>
      <c r="K26" s="261" t="s">
        <v>16</v>
      </c>
      <c r="L26" s="371">
        <f>L30+L37</f>
        <v>0</v>
      </c>
      <c r="M26" s="94"/>
      <c r="N26" s="94"/>
    </row>
    <row r="27" spans="1:14">
      <c r="A27" s="375"/>
      <c r="B27" s="376"/>
      <c r="C27" s="374"/>
      <c r="D27" s="374"/>
      <c r="E27" s="371">
        <f t="shared" si="8"/>
        <v>21681857.93</v>
      </c>
      <c r="F27" s="371">
        <f>F38</f>
        <v>19556252.73</v>
      </c>
      <c r="G27" s="371">
        <f t="shared" ref="G27:H27" si="16">G38</f>
        <v>1062802.6</v>
      </c>
      <c r="H27" s="371">
        <f t="shared" si="16"/>
        <v>1062802.6</v>
      </c>
      <c r="I27" s="371">
        <f t="shared" ref="I27:J27" si="17">I38</f>
        <v>0</v>
      </c>
      <c r="J27" s="371">
        <f t="shared" si="17"/>
        <v>0</v>
      </c>
      <c r="K27" s="371" t="s">
        <v>17</v>
      </c>
      <c r="L27" s="371">
        <f>L38</f>
        <v>17057864.85</v>
      </c>
      <c r="M27" s="94"/>
      <c r="N27" s="94"/>
    </row>
    <row r="28" ht="15.75" spans="1:14">
      <c r="A28" s="377" t="s">
        <v>40</v>
      </c>
      <c r="B28" s="374" t="s">
        <v>81</v>
      </c>
      <c r="C28" s="378"/>
      <c r="D28" s="378"/>
      <c r="E28" s="371">
        <f t="shared" si="8"/>
        <v>180318458.42</v>
      </c>
      <c r="F28" s="379">
        <f>SUM(F29:F30)</f>
        <v>33079114.26</v>
      </c>
      <c r="G28" s="379">
        <f t="shared" ref="G28:J28" si="18">SUM(G29:G30)</f>
        <v>73619672.08</v>
      </c>
      <c r="H28" s="379">
        <f t="shared" si="18"/>
        <v>73619672.08</v>
      </c>
      <c r="I28" s="379">
        <f t="shared" si="18"/>
        <v>0</v>
      </c>
      <c r="J28" s="379">
        <f t="shared" si="18"/>
        <v>0</v>
      </c>
      <c r="K28" s="414" t="s">
        <v>10</v>
      </c>
      <c r="M28" s="94"/>
      <c r="N28" s="94"/>
    </row>
    <row r="29" ht="15.75" spans="1:11">
      <c r="A29" s="380"/>
      <c r="B29" s="374"/>
      <c r="C29" s="378"/>
      <c r="D29" s="378"/>
      <c r="E29" s="371">
        <f t="shared" si="8"/>
        <v>174908904.67</v>
      </c>
      <c r="F29" s="381">
        <f>F31+F32</f>
        <v>32086740.83</v>
      </c>
      <c r="G29" s="381">
        <f>G31+G32</f>
        <v>71411081.92</v>
      </c>
      <c r="H29" s="381">
        <f>H31+H32</f>
        <v>71411081.92</v>
      </c>
      <c r="I29" s="381">
        <f>I31+I32</f>
        <v>0</v>
      </c>
      <c r="J29" s="381">
        <f>J31+J32</f>
        <v>0</v>
      </c>
      <c r="K29" s="414" t="s">
        <v>15</v>
      </c>
    </row>
    <row r="30" ht="15.75" spans="1:11">
      <c r="A30" s="380"/>
      <c r="B30" s="374"/>
      <c r="C30" s="378"/>
      <c r="D30" s="378"/>
      <c r="E30" s="371">
        <f t="shared" si="8"/>
        <v>5409553.75</v>
      </c>
      <c r="F30" s="381">
        <f>F33+F34</f>
        <v>992373.43</v>
      </c>
      <c r="G30" s="381">
        <f>G33+G34</f>
        <v>2208590.16</v>
      </c>
      <c r="H30" s="381">
        <f>H33+H34</f>
        <v>2208590.16</v>
      </c>
      <c r="I30" s="381">
        <f>I33+I34</f>
        <v>0</v>
      </c>
      <c r="J30" s="381">
        <f>J33+J34</f>
        <v>0</v>
      </c>
      <c r="K30" s="414" t="s">
        <v>16</v>
      </c>
    </row>
    <row r="31" ht="15.75" spans="1:11">
      <c r="A31" s="377" t="s">
        <v>42</v>
      </c>
      <c r="B31" s="374" t="s">
        <v>43</v>
      </c>
      <c r="C31" s="27"/>
      <c r="D31" s="27"/>
      <c r="E31" s="371">
        <f t="shared" si="8"/>
        <v>166009963.37</v>
      </c>
      <c r="F31" s="28">
        <f>26400000-3212200.47</f>
        <v>23187799.53</v>
      </c>
      <c r="G31" s="28">
        <v>71411081.92</v>
      </c>
      <c r="H31" s="28">
        <v>71411081.92</v>
      </c>
      <c r="I31" s="28">
        <v>0</v>
      </c>
      <c r="J31" s="28">
        <v>0</v>
      </c>
      <c r="K31" s="64" t="s">
        <v>23</v>
      </c>
    </row>
    <row r="32" ht="15.75" spans="1:11">
      <c r="A32" s="380"/>
      <c r="B32" s="374"/>
      <c r="C32" s="27"/>
      <c r="D32" s="27"/>
      <c r="E32" s="371">
        <f t="shared" si="8"/>
        <v>8898941.3</v>
      </c>
      <c r="F32" s="28">
        <f>5686740.83+3212200.47</f>
        <v>8898941.3</v>
      </c>
      <c r="G32" s="28">
        <v>0</v>
      </c>
      <c r="H32" s="28">
        <v>0</v>
      </c>
      <c r="I32" s="28">
        <v>0</v>
      </c>
      <c r="J32" s="28">
        <v>0</v>
      </c>
      <c r="K32" s="64" t="s">
        <v>24</v>
      </c>
    </row>
    <row r="33" ht="15.75" spans="1:11">
      <c r="A33" s="380"/>
      <c r="B33" s="374"/>
      <c r="C33" s="27"/>
      <c r="D33" s="27"/>
      <c r="E33" s="371">
        <f t="shared" si="8"/>
        <v>5134328.76</v>
      </c>
      <c r="F33" s="28">
        <f>816494.85-99346.41</f>
        <v>717148.44</v>
      </c>
      <c r="G33" s="28">
        <v>2208590.16</v>
      </c>
      <c r="H33" s="28">
        <v>2208590.16</v>
      </c>
      <c r="I33" s="28">
        <v>0</v>
      </c>
      <c r="J33" s="28">
        <v>0</v>
      </c>
      <c r="K33" s="64" t="s">
        <v>44</v>
      </c>
    </row>
    <row r="34" ht="15.75" spans="1:11">
      <c r="A34" s="380"/>
      <c r="B34" s="374"/>
      <c r="C34" s="27"/>
      <c r="D34" s="27"/>
      <c r="E34" s="371">
        <f t="shared" si="8"/>
        <v>275224.99</v>
      </c>
      <c r="F34" s="28">
        <f>175878.58+99346.41</f>
        <v>275224.99</v>
      </c>
      <c r="G34" s="28">
        <v>0</v>
      </c>
      <c r="H34" s="28">
        <v>0</v>
      </c>
      <c r="I34" s="28">
        <v>0</v>
      </c>
      <c r="J34" s="28">
        <v>0</v>
      </c>
      <c r="K34" s="64" t="s">
        <v>45</v>
      </c>
    </row>
    <row r="35" ht="15.75" spans="1:11">
      <c r="A35" s="377" t="s">
        <v>48</v>
      </c>
      <c r="B35" s="382" t="s">
        <v>82</v>
      </c>
      <c r="C35" s="383"/>
      <c r="D35" s="383"/>
      <c r="E35" s="371">
        <f t="shared" si="8"/>
        <v>85675032.4</v>
      </c>
      <c r="F35" s="384">
        <f>SUM(F36:F37)</f>
        <v>85675032.4</v>
      </c>
      <c r="G35" s="384">
        <f t="shared" ref="G35:J35" si="19">SUM(G36:G37)</f>
        <v>0</v>
      </c>
      <c r="H35" s="384">
        <f t="shared" si="19"/>
        <v>0</v>
      </c>
      <c r="I35" s="384">
        <f t="shared" si="19"/>
        <v>0</v>
      </c>
      <c r="J35" s="384">
        <f t="shared" si="19"/>
        <v>0</v>
      </c>
      <c r="K35" s="415" t="s">
        <v>50</v>
      </c>
    </row>
    <row r="36" ht="15.75" spans="1:11">
      <c r="A36" s="380"/>
      <c r="B36" s="385"/>
      <c r="C36" s="383"/>
      <c r="D36" s="383"/>
      <c r="E36" s="371">
        <f t="shared" si="8"/>
        <v>84818282.07</v>
      </c>
      <c r="F36" s="386">
        <v>84818282.07</v>
      </c>
      <c r="G36" s="386">
        <v>0</v>
      </c>
      <c r="H36" s="386">
        <v>0</v>
      </c>
      <c r="I36" s="386">
        <v>0</v>
      </c>
      <c r="J36" s="386">
        <v>0</v>
      </c>
      <c r="K36" s="415" t="s">
        <v>20</v>
      </c>
    </row>
    <row r="37" ht="15.75" spans="1:11">
      <c r="A37" s="380"/>
      <c r="B37" s="385"/>
      <c r="C37" s="383"/>
      <c r="D37" s="383"/>
      <c r="E37" s="371">
        <f t="shared" si="8"/>
        <v>856750.33</v>
      </c>
      <c r="F37" s="386">
        <v>856750.33</v>
      </c>
      <c r="G37" s="386">
        <v>0</v>
      </c>
      <c r="H37" s="386">
        <v>0</v>
      </c>
      <c r="I37" s="386">
        <v>0</v>
      </c>
      <c r="J37" s="386">
        <v>0</v>
      </c>
      <c r="K37" s="415" t="s">
        <v>44</v>
      </c>
    </row>
    <row r="38" s="1" customFormat="1" ht="15.75" spans="1:12">
      <c r="A38" s="377" t="s">
        <v>83</v>
      </c>
      <c r="B38" s="382" t="s">
        <v>84</v>
      </c>
      <c r="C38" s="357"/>
      <c r="D38" s="357"/>
      <c r="E38" s="371">
        <f t="shared" si="8"/>
        <v>21681857.93</v>
      </c>
      <c r="F38" s="386">
        <f>F40+F39+F41</f>
        <v>19556252.73</v>
      </c>
      <c r="G38" s="386">
        <v>1062802.6</v>
      </c>
      <c r="H38" s="386">
        <v>1062802.6</v>
      </c>
      <c r="I38" s="386">
        <f>I40+I39</f>
        <v>0</v>
      </c>
      <c r="J38" s="386">
        <f>J40+J39</f>
        <v>0</v>
      </c>
      <c r="K38" s="416" t="s">
        <v>13</v>
      </c>
      <c r="L38" s="417">
        <f>L40+L39+L41</f>
        <v>17057864.85</v>
      </c>
    </row>
    <row r="39" s="1" customFormat="1" ht="15.75" spans="1:12">
      <c r="A39" s="380"/>
      <c r="B39" s="385"/>
      <c r="C39" s="357"/>
      <c r="D39" s="357"/>
      <c r="E39" s="371">
        <f t="shared" si="8"/>
        <v>14358252.73</v>
      </c>
      <c r="F39" s="386">
        <f>1800387.88+L39</f>
        <v>14358252.73</v>
      </c>
      <c r="G39" s="386">
        <v>0</v>
      </c>
      <c r="H39" s="386">
        <v>0</v>
      </c>
      <c r="I39" s="386">
        <v>0</v>
      </c>
      <c r="J39" s="386">
        <v>0</v>
      </c>
      <c r="K39" s="415" t="s">
        <v>29</v>
      </c>
      <c r="L39" s="85">
        <f>5500000+6500000+23484.85+75710.7+133771.91+324897.39</f>
        <v>12557864.85</v>
      </c>
    </row>
    <row r="40" s="1" customFormat="1" ht="15.75" spans="1:12">
      <c r="A40" s="380"/>
      <c r="B40" s="385"/>
      <c r="C40" s="357"/>
      <c r="D40" s="357"/>
      <c r="E40" s="371">
        <f t="shared" si="8"/>
        <v>6725605.2</v>
      </c>
      <c r="F40" s="386">
        <f>100000+L40</f>
        <v>4600000</v>
      </c>
      <c r="G40" s="386">
        <v>1062802.6</v>
      </c>
      <c r="H40" s="386">
        <v>1062802.6</v>
      </c>
      <c r="I40" s="386">
        <v>0</v>
      </c>
      <c r="J40" s="386">
        <v>0</v>
      </c>
      <c r="K40" s="415" t="s">
        <v>30</v>
      </c>
      <c r="L40" s="85">
        <v>4500000</v>
      </c>
    </row>
    <row r="41" s="1" customFormat="1" ht="15.75" spans="1:12">
      <c r="A41" s="380"/>
      <c r="B41" s="385"/>
      <c r="C41" s="357"/>
      <c r="D41" s="357"/>
      <c r="E41" s="371">
        <f t="shared" si="8"/>
        <v>598000</v>
      </c>
      <c r="F41" s="386">
        <v>598000</v>
      </c>
      <c r="G41" s="386">
        <v>0</v>
      </c>
      <c r="H41" s="386">
        <v>0</v>
      </c>
      <c r="I41" s="386">
        <v>0</v>
      </c>
      <c r="J41" s="386">
        <v>0</v>
      </c>
      <c r="K41" s="415" t="s">
        <v>101</v>
      </c>
      <c r="L41" s="85"/>
    </row>
    <row r="42" ht="18.75" spans="1:11">
      <c r="A42" s="315" t="s">
        <v>55</v>
      </c>
      <c r="B42" s="367" t="s">
        <v>56</v>
      </c>
      <c r="C42" s="367"/>
      <c r="D42" s="367"/>
      <c r="E42" s="367"/>
      <c r="F42" s="367"/>
      <c r="G42" s="367"/>
      <c r="H42" s="367"/>
      <c r="I42" s="367"/>
      <c r="J42" s="367"/>
      <c r="K42" s="367"/>
    </row>
    <row r="43" ht="15.75" spans="1:12">
      <c r="A43" s="387" t="s">
        <v>57</v>
      </c>
      <c r="B43" s="388" t="s">
        <v>85</v>
      </c>
      <c r="C43" s="389"/>
      <c r="D43" s="389"/>
      <c r="E43" s="390">
        <f t="shared" si="8"/>
        <v>8737726.51</v>
      </c>
      <c r="F43" s="391">
        <f>F44+F45</f>
        <v>8737726.51</v>
      </c>
      <c r="G43" s="391">
        <f t="shared" ref="G43:J43" si="20">G44+G45</f>
        <v>0</v>
      </c>
      <c r="H43" s="391">
        <f t="shared" si="20"/>
        <v>0</v>
      </c>
      <c r="I43" s="391">
        <f t="shared" si="20"/>
        <v>0</v>
      </c>
      <c r="J43" s="391">
        <f t="shared" si="20"/>
        <v>0</v>
      </c>
      <c r="K43" s="418" t="s">
        <v>10</v>
      </c>
      <c r="L43" s="419">
        <f>L44+L45</f>
        <v>-2348485.33</v>
      </c>
    </row>
    <row r="44" ht="15.75" spans="1:12">
      <c r="A44" s="392"/>
      <c r="B44" s="388"/>
      <c r="C44" s="389"/>
      <c r="D44" s="389"/>
      <c r="E44" s="390">
        <f t="shared" si="8"/>
        <v>8639999.24</v>
      </c>
      <c r="F44" s="391">
        <f>F46+F47</f>
        <v>8639999.24</v>
      </c>
      <c r="G44" s="391">
        <f t="shared" ref="G44:J44" si="21">G46+G47</f>
        <v>0</v>
      </c>
      <c r="H44" s="391">
        <f t="shared" si="21"/>
        <v>0</v>
      </c>
      <c r="I44" s="391">
        <f t="shared" si="21"/>
        <v>0</v>
      </c>
      <c r="J44" s="391">
        <f t="shared" si="21"/>
        <v>0</v>
      </c>
      <c r="K44" s="418" t="s">
        <v>15</v>
      </c>
      <c r="L44" s="419">
        <f>L46+L47</f>
        <v>-2325000.48</v>
      </c>
    </row>
    <row r="45" ht="15.75" spans="1:12">
      <c r="A45" s="392"/>
      <c r="B45" s="388"/>
      <c r="C45" s="389"/>
      <c r="D45" s="389"/>
      <c r="E45" s="390">
        <f t="shared" si="8"/>
        <v>97727.27</v>
      </c>
      <c r="F45" s="391">
        <f>F48+F49</f>
        <v>97727.27</v>
      </c>
      <c r="G45" s="391">
        <f t="shared" ref="G45:J45" si="22">G48+G49</f>
        <v>0</v>
      </c>
      <c r="H45" s="391">
        <f t="shared" si="22"/>
        <v>0</v>
      </c>
      <c r="I45" s="391">
        <f t="shared" si="22"/>
        <v>0</v>
      </c>
      <c r="J45" s="391">
        <f t="shared" si="22"/>
        <v>0</v>
      </c>
      <c r="K45" s="418" t="s">
        <v>16</v>
      </c>
      <c r="L45" s="419">
        <f>L48+L49</f>
        <v>-23484.85</v>
      </c>
    </row>
    <row r="46" ht="15.75" spans="1:12">
      <c r="A46" s="393" t="s">
        <v>59</v>
      </c>
      <c r="B46" s="394" t="s">
        <v>86</v>
      </c>
      <c r="C46" s="27"/>
      <c r="D46" s="27"/>
      <c r="E46" s="390">
        <f t="shared" si="8"/>
        <v>8639999.24</v>
      </c>
      <c r="F46" s="28">
        <f>9674999.52-1035000.28</f>
        <v>8639999.24</v>
      </c>
      <c r="G46" s="28">
        <v>0</v>
      </c>
      <c r="H46" s="28">
        <v>0</v>
      </c>
      <c r="I46" s="28">
        <v>0</v>
      </c>
      <c r="J46" s="28">
        <v>0</v>
      </c>
      <c r="K46" s="411" t="s">
        <v>65</v>
      </c>
      <c r="L46" s="2">
        <v>-2325000.48</v>
      </c>
    </row>
    <row r="47" ht="15.75" spans="1:11">
      <c r="A47" s="393"/>
      <c r="B47" s="394"/>
      <c r="C47" s="27"/>
      <c r="D47" s="27"/>
      <c r="E47" s="390">
        <f t="shared" si="8"/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412" t="s">
        <v>67</v>
      </c>
    </row>
    <row r="48" ht="15.75" spans="1:12">
      <c r="A48" s="393"/>
      <c r="B48" s="394"/>
      <c r="C48" s="27"/>
      <c r="D48" s="27"/>
      <c r="E48" s="390">
        <f t="shared" si="8"/>
        <v>97727.27</v>
      </c>
      <c r="F48" s="28">
        <v>97727.27</v>
      </c>
      <c r="G48" s="28">
        <v>0</v>
      </c>
      <c r="H48" s="28">
        <v>0</v>
      </c>
      <c r="I48" s="28">
        <v>0</v>
      </c>
      <c r="J48" s="28">
        <v>0</v>
      </c>
      <c r="K48" s="411" t="s">
        <v>44</v>
      </c>
      <c r="L48" s="2">
        <v>-23484.85</v>
      </c>
    </row>
    <row r="49" ht="15.75" spans="1:11">
      <c r="A49" s="393"/>
      <c r="B49" s="395"/>
      <c r="C49" s="27"/>
      <c r="D49" s="27"/>
      <c r="E49" s="390">
        <f t="shared" si="8"/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412" t="s">
        <v>45</v>
      </c>
    </row>
    <row r="50" ht="18.75" customHeight="1" spans="1:12">
      <c r="A50" s="396" t="s">
        <v>70</v>
      </c>
      <c r="B50" s="397"/>
      <c r="C50" s="397"/>
      <c r="D50" s="398"/>
      <c r="E50" s="279">
        <f t="shared" ref="E50:E54" si="23">SUM(F50:J50)</f>
        <v>581454493.54</v>
      </c>
      <c r="F50" s="279">
        <f>F51+F52+F53+F54</f>
        <v>311612202.48</v>
      </c>
      <c r="G50" s="279">
        <f>G51+G52+G53+G54</f>
        <v>195159816.38</v>
      </c>
      <c r="H50" s="279">
        <f t="shared" ref="H50:J50" si="24">H51+H52+H53+H54</f>
        <v>74682474.68</v>
      </c>
      <c r="I50" s="279">
        <f t="shared" si="24"/>
        <v>0</v>
      </c>
      <c r="J50" s="279">
        <f t="shared" si="24"/>
        <v>0</v>
      </c>
      <c r="K50" s="340"/>
      <c r="L50" s="278">
        <f>L51+L52+L53+L54</f>
        <v>14709379.52</v>
      </c>
    </row>
    <row r="51" ht="18.75" spans="1:12">
      <c r="A51" s="399"/>
      <c r="B51" s="400"/>
      <c r="C51" s="400"/>
      <c r="D51" s="401"/>
      <c r="E51" s="279">
        <f t="shared" si="23"/>
        <v>265766855.39</v>
      </c>
      <c r="F51" s="280">
        <f>F5+F24</f>
        <v>226297399.5</v>
      </c>
      <c r="G51" s="280">
        <f>G5+G24</f>
        <v>39469455.89</v>
      </c>
      <c r="H51" s="280">
        <f>H5+H24</f>
        <v>0</v>
      </c>
      <c r="I51" s="280">
        <f>I5+I24</f>
        <v>0</v>
      </c>
      <c r="J51" s="280">
        <f>J5+J24</f>
        <v>0</v>
      </c>
      <c r="K51" s="420" t="s">
        <v>14</v>
      </c>
      <c r="L51" s="280">
        <f>L5+L24</f>
        <v>0</v>
      </c>
    </row>
    <row r="52" ht="18.75" spans="1:12">
      <c r="A52" s="399"/>
      <c r="B52" s="400"/>
      <c r="C52" s="400"/>
      <c r="D52" s="401"/>
      <c r="E52" s="279">
        <f t="shared" si="23"/>
        <v>185078466.63</v>
      </c>
      <c r="F52" s="280">
        <f t="shared" ref="F52:J53" si="25">F6+F25+F44</f>
        <v>41450803.69</v>
      </c>
      <c r="G52" s="280">
        <f t="shared" si="25"/>
        <v>72216581.02</v>
      </c>
      <c r="H52" s="280">
        <f t="shared" si="25"/>
        <v>71411081.92</v>
      </c>
      <c r="I52" s="280">
        <f t="shared" si="25"/>
        <v>0</v>
      </c>
      <c r="J52" s="280">
        <f t="shared" si="25"/>
        <v>0</v>
      </c>
      <c r="K52" s="420" t="s">
        <v>71</v>
      </c>
      <c r="L52" s="281">
        <f t="shared" ref="L52:L53" si="26">L6+L25+L44</f>
        <v>-2325000.48</v>
      </c>
    </row>
    <row r="53" ht="18.75" customHeight="1" spans="1:12">
      <c r="A53" s="399"/>
      <c r="B53" s="400"/>
      <c r="C53" s="400"/>
      <c r="D53" s="401"/>
      <c r="E53" s="279">
        <f t="shared" si="23"/>
        <v>6748343.59</v>
      </c>
      <c r="F53" s="280">
        <f t="shared" si="25"/>
        <v>2128776.56</v>
      </c>
      <c r="G53" s="280">
        <f t="shared" si="25"/>
        <v>2410976.87</v>
      </c>
      <c r="H53" s="280">
        <f t="shared" si="25"/>
        <v>2208590.16</v>
      </c>
      <c r="I53" s="280">
        <f t="shared" si="25"/>
        <v>0</v>
      </c>
      <c r="J53" s="280">
        <f t="shared" si="25"/>
        <v>0</v>
      </c>
      <c r="K53" s="287" t="s">
        <v>16</v>
      </c>
      <c r="L53" s="281">
        <f t="shared" si="26"/>
        <v>-23484.85</v>
      </c>
    </row>
    <row r="54" ht="18.75" customHeight="1" spans="1:12">
      <c r="A54" s="402"/>
      <c r="B54" s="403"/>
      <c r="C54" s="403"/>
      <c r="D54" s="404"/>
      <c r="E54" s="279">
        <f t="shared" si="23"/>
        <v>123860827.93</v>
      </c>
      <c r="F54" s="282">
        <f>F27+F8</f>
        <v>41735222.73</v>
      </c>
      <c r="G54" s="282">
        <f>G27+G8</f>
        <v>81062802.6</v>
      </c>
      <c r="H54" s="282">
        <f t="shared" ref="H54:J54" si="27">H27</f>
        <v>1062802.6</v>
      </c>
      <c r="I54" s="282">
        <f t="shared" si="27"/>
        <v>0</v>
      </c>
      <c r="J54" s="282">
        <f t="shared" si="27"/>
        <v>0</v>
      </c>
      <c r="K54" s="287" t="s">
        <v>73</v>
      </c>
      <c r="L54" s="283">
        <f>L27+L8</f>
        <v>17057864.85</v>
      </c>
    </row>
    <row r="55" ht="18.75" spans="1:11">
      <c r="A55" s="284" t="s">
        <v>120</v>
      </c>
      <c r="B55" s="284"/>
      <c r="C55" s="284"/>
      <c r="D55" s="284"/>
      <c r="E55" s="323"/>
      <c r="F55" s="323"/>
      <c r="G55" s="323"/>
      <c r="H55" s="323"/>
      <c r="I55" s="323"/>
      <c r="J55" s="323"/>
      <c r="K55" s="340"/>
    </row>
    <row r="56" ht="15.75" spans="1:11">
      <c r="A56" s="83"/>
      <c r="B56" s="84"/>
      <c r="C56" s="84"/>
      <c r="D56" s="84"/>
      <c r="E56" s="85">
        <f>E53+E54</f>
        <v>130609171.52</v>
      </c>
      <c r="F56" s="83"/>
      <c r="G56" s="83"/>
      <c r="H56" s="83"/>
      <c r="I56" s="83"/>
      <c r="J56" s="93"/>
      <c r="K56" s="93"/>
    </row>
    <row r="57" ht="15.75" spans="1:11">
      <c r="A57" s="83"/>
      <c r="B57" s="83"/>
      <c r="C57" s="83"/>
      <c r="D57" s="83"/>
      <c r="E57" s="83"/>
      <c r="F57" s="83"/>
      <c r="G57" s="83"/>
      <c r="H57" s="83"/>
      <c r="I57" s="83" t="s">
        <v>87</v>
      </c>
      <c r="J57" s="29"/>
      <c r="K57" s="29">
        <v>178063747.64</v>
      </c>
    </row>
    <row r="58" s="1" customFormat="1" ht="15.75" spans="1:12">
      <c r="A58" s="83"/>
      <c r="B58" s="83"/>
      <c r="C58" s="83"/>
      <c r="D58" s="83"/>
      <c r="E58" s="83"/>
      <c r="F58" s="83"/>
      <c r="G58" s="83"/>
      <c r="H58" s="83"/>
      <c r="I58" s="83" t="s">
        <v>88</v>
      </c>
      <c r="J58" s="29"/>
      <c r="K58" s="29">
        <v>506829756.46</v>
      </c>
      <c r="L58" s="85"/>
    </row>
    <row r="59" s="1" customFormat="1" ht="15.75" spans="1:12">
      <c r="A59" s="83"/>
      <c r="B59" s="83"/>
      <c r="C59" s="83"/>
      <c r="D59" s="83"/>
      <c r="E59" s="85">
        <f>L50</f>
        <v>14709379.52</v>
      </c>
      <c r="F59" s="83"/>
      <c r="G59" s="83"/>
      <c r="H59" s="83"/>
      <c r="I59" s="83"/>
      <c r="J59" s="29"/>
      <c r="K59" s="421">
        <f>E50+K57+K58</f>
        <v>1266347997.64</v>
      </c>
      <c r="L59" s="85"/>
    </row>
  </sheetData>
  <mergeCells count="23">
    <mergeCell ref="B22:K22"/>
    <mergeCell ref="B42:K42"/>
    <mergeCell ref="A55:D55"/>
    <mergeCell ref="A4:A7"/>
    <mergeCell ref="A9:A16"/>
    <mergeCell ref="A17:A20"/>
    <mergeCell ref="A23:A27"/>
    <mergeCell ref="A28:A30"/>
    <mergeCell ref="A31:A34"/>
    <mergeCell ref="A35:A37"/>
    <mergeCell ref="A38:A41"/>
    <mergeCell ref="A43:A45"/>
    <mergeCell ref="A46:A49"/>
    <mergeCell ref="B4:B7"/>
    <mergeCell ref="B9:B16"/>
    <mergeCell ref="B17:B20"/>
    <mergeCell ref="B23:B27"/>
    <mergeCell ref="B28:B30"/>
    <mergeCell ref="B31:B34"/>
    <mergeCell ref="B35:B37"/>
    <mergeCell ref="B38:B41"/>
    <mergeCell ref="B43:B45"/>
    <mergeCell ref="B46:B49"/>
  </mergeCells>
  <pageMargins left="0.118110236220472" right="0.118110236220472" top="0.15748031496063" bottom="0.15748031496063" header="0.31496062992126" footer="0.31496062992126"/>
  <pageSetup paperSize="9" scale="64" fitToHeight="0" orientation="portrait" blackAndWhite="1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5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9" width="14.2857142857143" style="3" customWidth="1"/>
    <col min="10" max="10" width="9.14285714285714" style="3" customWidth="1"/>
    <col min="11" max="11" width="17.2857142857143" style="4" customWidth="1"/>
    <col min="12" max="12" width="0.285714285714286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58.5" customHeight="1" spans="1:14">
      <c r="A1" s="344" t="s">
        <v>0</v>
      </c>
      <c r="B1" s="345" t="s">
        <v>1</v>
      </c>
      <c r="C1" s="345" t="s">
        <v>2</v>
      </c>
      <c r="D1" s="345" t="s">
        <v>3</v>
      </c>
      <c r="E1" s="345" t="s">
        <v>4</v>
      </c>
      <c r="F1" s="346">
        <v>2023</v>
      </c>
      <c r="G1" s="346">
        <v>2024</v>
      </c>
      <c r="H1" s="347">
        <v>2025</v>
      </c>
      <c r="I1" s="346">
        <v>2026</v>
      </c>
      <c r="J1" s="346">
        <v>2027</v>
      </c>
      <c r="K1" s="405" t="s">
        <v>121</v>
      </c>
      <c r="L1" s="406"/>
      <c r="M1" s="406"/>
      <c r="N1" s="406"/>
    </row>
    <row r="2" spans="1:11">
      <c r="A2" s="19">
        <v>1</v>
      </c>
      <c r="B2" s="19">
        <v>2</v>
      </c>
      <c r="C2" s="19">
        <v>3</v>
      </c>
      <c r="D2" s="19">
        <v>4</v>
      </c>
      <c r="E2" s="19">
        <v>5</v>
      </c>
      <c r="F2" s="19">
        <v>6</v>
      </c>
      <c r="G2" s="19">
        <v>7</v>
      </c>
      <c r="H2" s="19">
        <v>8</v>
      </c>
      <c r="I2" s="19">
        <v>9</v>
      </c>
      <c r="J2" s="19">
        <v>10</v>
      </c>
      <c r="K2" s="19">
        <v>11</v>
      </c>
    </row>
    <row r="3" s="1" customFormat="1" ht="19.5" spans="1:12">
      <c r="A3" s="301" t="s">
        <v>6</v>
      </c>
      <c r="B3" s="348" t="s">
        <v>7</v>
      </c>
      <c r="C3" s="349"/>
      <c r="D3" s="349"/>
      <c r="E3" s="349"/>
      <c r="F3" s="315"/>
      <c r="G3" s="315"/>
      <c r="H3" s="349"/>
      <c r="I3" s="315"/>
      <c r="J3" s="315"/>
      <c r="K3" s="407"/>
      <c r="L3" s="85"/>
    </row>
    <row r="4" s="1" customFormat="1" ht="15.75" spans="1:12">
      <c r="A4" s="350" t="s">
        <v>8</v>
      </c>
      <c r="B4" s="351" t="s">
        <v>77</v>
      </c>
      <c r="C4" s="352"/>
      <c r="D4" s="352"/>
      <c r="E4" s="353">
        <f>F4+G4+H4+I4+J4</f>
        <v>206077265.69</v>
      </c>
      <c r="F4" s="354">
        <f>SUM(F5:F8)</f>
        <v>164564076.58</v>
      </c>
      <c r="G4" s="354">
        <f>SUM(G5:G8)</f>
        <v>41513189.11</v>
      </c>
      <c r="H4" s="354">
        <f t="shared" ref="H4:J4" si="0">SUM(H5:H8)</f>
        <v>0</v>
      </c>
      <c r="I4" s="354">
        <f t="shared" si="0"/>
        <v>0</v>
      </c>
      <c r="J4" s="354">
        <f t="shared" si="0"/>
        <v>0</v>
      </c>
      <c r="K4" s="408" t="s">
        <v>13</v>
      </c>
      <c r="L4" s="85"/>
    </row>
    <row r="5" s="1" customFormat="1" ht="15.75" spans="1:12">
      <c r="A5" s="355"/>
      <c r="B5" s="352"/>
      <c r="C5" s="352"/>
      <c r="D5" s="352"/>
      <c r="E5" s="353">
        <f t="shared" ref="E5:E12" si="1">SUM(F5:J5)</f>
        <v>181958628.13</v>
      </c>
      <c r="F5" s="354">
        <f>F10+F11+F18+F19</f>
        <v>141479117.43</v>
      </c>
      <c r="G5" s="354">
        <f>G10+G11+G18+G19</f>
        <v>40479510.7</v>
      </c>
      <c r="H5" s="354">
        <f t="shared" ref="H5:J5" si="2">H10+H11+H18+H19</f>
        <v>0</v>
      </c>
      <c r="I5" s="354">
        <f t="shared" si="2"/>
        <v>0</v>
      </c>
      <c r="J5" s="354">
        <f t="shared" si="2"/>
        <v>0</v>
      </c>
      <c r="K5" s="409" t="s">
        <v>78</v>
      </c>
      <c r="L5" s="85"/>
    </row>
    <row r="6" s="1" customFormat="1" ht="15.75" spans="1:12">
      <c r="A6" s="355"/>
      <c r="B6" s="352"/>
      <c r="C6" s="352"/>
      <c r="D6" s="352"/>
      <c r="E6" s="353">
        <f t="shared" si="1"/>
        <v>1550176.08</v>
      </c>
      <c r="F6" s="354">
        <f>F12+F13</f>
        <v>724063.62</v>
      </c>
      <c r="G6" s="354">
        <f>G12+G13</f>
        <v>826112.46</v>
      </c>
      <c r="H6" s="354">
        <f t="shared" ref="H6:J6" si="3">H12+H13</f>
        <v>0</v>
      </c>
      <c r="I6" s="354">
        <f t="shared" si="3"/>
        <v>0</v>
      </c>
      <c r="J6" s="354">
        <f t="shared" si="3"/>
        <v>0</v>
      </c>
      <c r="K6" s="409" t="s">
        <v>71</v>
      </c>
      <c r="L6" s="85"/>
    </row>
    <row r="7" s="1" customFormat="1" ht="15.75" spans="1:12">
      <c r="A7" s="355"/>
      <c r="B7" s="352"/>
      <c r="C7" s="352"/>
      <c r="D7" s="352"/>
      <c r="E7" s="353">
        <f t="shared" si="1"/>
        <v>389491.48</v>
      </c>
      <c r="F7" s="354">
        <f>F14+F15</f>
        <v>181925.53</v>
      </c>
      <c r="G7" s="354">
        <f>G14+G15</f>
        <v>207565.95</v>
      </c>
      <c r="H7" s="354">
        <f t="shared" ref="H7:J7" si="4">H14+H15</f>
        <v>0</v>
      </c>
      <c r="I7" s="354">
        <f t="shared" si="4"/>
        <v>0</v>
      </c>
      <c r="J7" s="354">
        <f t="shared" si="4"/>
        <v>0</v>
      </c>
      <c r="K7" s="409" t="s">
        <v>16</v>
      </c>
      <c r="L7" s="85"/>
    </row>
    <row r="8" s="1" customFormat="1" ht="16.5" spans="1:12">
      <c r="A8" s="355"/>
      <c r="B8" s="352"/>
      <c r="C8" s="352"/>
      <c r="D8" s="352"/>
      <c r="E8" s="353">
        <f t="shared" si="1"/>
        <v>22178970</v>
      </c>
      <c r="F8" s="354">
        <f>F20+F21</f>
        <v>22178970</v>
      </c>
      <c r="G8" s="354">
        <f>G20+G21+G16</f>
        <v>0</v>
      </c>
      <c r="H8" s="354">
        <v>0</v>
      </c>
      <c r="I8" s="354">
        <v>0</v>
      </c>
      <c r="J8" s="354">
        <v>0</v>
      </c>
      <c r="K8" s="409" t="s">
        <v>73</v>
      </c>
      <c r="L8" s="85"/>
    </row>
    <row r="9" s="1" customFormat="1" ht="15.75" spans="1:12">
      <c r="A9" s="350" t="s">
        <v>11</v>
      </c>
      <c r="B9" s="356" t="s">
        <v>79</v>
      </c>
      <c r="C9" s="352"/>
      <c r="D9" s="352"/>
      <c r="E9" s="353">
        <f t="shared" si="1"/>
        <v>77898295.69</v>
      </c>
      <c r="F9" s="354">
        <f>F10+F11+F12+F13+F14+F16</f>
        <v>36385106.58</v>
      </c>
      <c r="G9" s="354">
        <f>G10+G11+G12+G13+G14+G16+G15</f>
        <v>41513189.11</v>
      </c>
      <c r="H9" s="354">
        <f t="shared" ref="H9:J9" si="5">H10+H11+H12+H13+H14+H16</f>
        <v>0</v>
      </c>
      <c r="I9" s="354">
        <f t="shared" si="5"/>
        <v>0</v>
      </c>
      <c r="J9" s="354">
        <f t="shared" si="5"/>
        <v>0</v>
      </c>
      <c r="K9" s="408" t="s">
        <v>13</v>
      </c>
      <c r="L9" s="85"/>
    </row>
    <row r="10" s="1" customFormat="1" ht="15.75" spans="1:12">
      <c r="A10" s="355"/>
      <c r="B10" s="357"/>
      <c r="C10" s="357"/>
      <c r="D10" s="357"/>
      <c r="E10" s="353">
        <f t="shared" si="1"/>
        <v>75958628.13</v>
      </c>
      <c r="F10" s="358">
        <v>35479117.43</v>
      </c>
      <c r="G10" s="359">
        <v>40479510.7</v>
      </c>
      <c r="H10" s="360">
        <v>0</v>
      </c>
      <c r="I10" s="410">
        <v>0</v>
      </c>
      <c r="J10" s="410">
        <v>0</v>
      </c>
      <c r="K10" s="411" t="s">
        <v>20</v>
      </c>
      <c r="L10" s="85"/>
    </row>
    <row r="11" s="1" customFormat="1" ht="15.75" spans="1:12">
      <c r="A11" s="355"/>
      <c r="B11" s="357"/>
      <c r="C11" s="357"/>
      <c r="D11" s="357"/>
      <c r="E11" s="353">
        <f t="shared" si="1"/>
        <v>0</v>
      </c>
      <c r="F11" s="361">
        <v>0</v>
      </c>
      <c r="G11" s="361">
        <v>0</v>
      </c>
      <c r="H11" s="361">
        <v>0</v>
      </c>
      <c r="I11" s="361">
        <v>0</v>
      </c>
      <c r="J11" s="361">
        <v>0</v>
      </c>
      <c r="K11" s="412" t="s">
        <v>21</v>
      </c>
      <c r="L11" s="85"/>
    </row>
    <row r="12" s="1" customFormat="1" ht="15.75" spans="1:12">
      <c r="A12" s="355"/>
      <c r="B12" s="357"/>
      <c r="C12" s="357"/>
      <c r="D12" s="357"/>
      <c r="E12" s="353">
        <f t="shared" si="1"/>
        <v>1550176.08</v>
      </c>
      <c r="F12" s="359">
        <v>724063.62</v>
      </c>
      <c r="G12" s="359">
        <v>826112.46</v>
      </c>
      <c r="H12" s="359">
        <v>0</v>
      </c>
      <c r="I12" s="359">
        <v>0</v>
      </c>
      <c r="J12" s="359">
        <v>0</v>
      </c>
      <c r="K12" s="411" t="s">
        <v>23</v>
      </c>
      <c r="L12" s="85"/>
    </row>
    <row r="13" s="1" customFormat="1" ht="15.75" spans="1:12">
      <c r="A13" s="355"/>
      <c r="B13" s="357"/>
      <c r="C13" s="357"/>
      <c r="D13" s="357"/>
      <c r="E13" s="353">
        <f t="shared" ref="E13:E21" si="6">SUM(F13:J13)</f>
        <v>0</v>
      </c>
      <c r="F13" s="361">
        <v>0</v>
      </c>
      <c r="G13" s="361">
        <v>0</v>
      </c>
      <c r="H13" s="361">
        <v>0</v>
      </c>
      <c r="I13" s="361">
        <v>0</v>
      </c>
      <c r="J13" s="361">
        <v>0</v>
      </c>
      <c r="K13" s="412" t="s">
        <v>24</v>
      </c>
      <c r="L13" s="85"/>
    </row>
    <row r="14" s="1" customFormat="1" ht="15.75" spans="1:12">
      <c r="A14" s="355"/>
      <c r="B14" s="357"/>
      <c r="C14" s="357"/>
      <c r="D14" s="357"/>
      <c r="E14" s="353">
        <f t="shared" si="6"/>
        <v>389491.48</v>
      </c>
      <c r="F14" s="359">
        <v>181925.53</v>
      </c>
      <c r="G14" s="359">
        <v>207565.95</v>
      </c>
      <c r="H14" s="359">
        <v>0</v>
      </c>
      <c r="I14" s="359">
        <v>0</v>
      </c>
      <c r="J14" s="359">
        <v>0</v>
      </c>
      <c r="K14" s="411" t="s">
        <v>26</v>
      </c>
      <c r="L14" s="85"/>
    </row>
    <row r="15" s="1" customFormat="1" ht="15.75" spans="1:12">
      <c r="A15" s="355"/>
      <c r="B15" s="357"/>
      <c r="C15" s="357"/>
      <c r="D15" s="357"/>
      <c r="E15" s="353">
        <f t="shared" si="6"/>
        <v>0</v>
      </c>
      <c r="F15" s="359">
        <v>0</v>
      </c>
      <c r="G15" s="359">
        <v>0</v>
      </c>
      <c r="H15" s="359">
        <v>0</v>
      </c>
      <c r="I15" s="359">
        <v>0</v>
      </c>
      <c r="J15" s="359">
        <v>0</v>
      </c>
      <c r="K15" s="411" t="s">
        <v>45</v>
      </c>
      <c r="L15" s="85"/>
    </row>
    <row r="16" s="1" customFormat="1" ht="16.5" spans="1:12">
      <c r="A16" s="362"/>
      <c r="B16" s="363"/>
      <c r="C16" s="357"/>
      <c r="D16" s="357"/>
      <c r="E16" s="353">
        <f t="shared" si="6"/>
        <v>0</v>
      </c>
      <c r="F16" s="361">
        <v>0</v>
      </c>
      <c r="G16" s="361">
        <v>0</v>
      </c>
      <c r="H16" s="361">
        <v>0</v>
      </c>
      <c r="I16" s="361">
        <v>0</v>
      </c>
      <c r="J16" s="361">
        <v>0</v>
      </c>
      <c r="K16" s="412" t="s">
        <v>29</v>
      </c>
      <c r="L16" s="85"/>
    </row>
    <row r="17" s="1" customFormat="1" ht="15.75" spans="1:12">
      <c r="A17" s="350" t="s">
        <v>91</v>
      </c>
      <c r="B17" s="356" t="s">
        <v>92</v>
      </c>
      <c r="C17" s="357"/>
      <c r="D17" s="357"/>
      <c r="E17" s="353">
        <f t="shared" si="6"/>
        <v>128178970</v>
      </c>
      <c r="F17" s="361">
        <f>F18+F19+F20+F21</f>
        <v>128178970</v>
      </c>
      <c r="G17" s="361">
        <f>G18+G19+G20+G21</f>
        <v>0</v>
      </c>
      <c r="H17" s="361">
        <f t="shared" ref="H17:J17" si="7">H18+H19+H20+H21</f>
        <v>0</v>
      </c>
      <c r="I17" s="361">
        <f t="shared" si="7"/>
        <v>0</v>
      </c>
      <c r="J17" s="361">
        <f t="shared" si="7"/>
        <v>0</v>
      </c>
      <c r="K17" s="412" t="s">
        <v>13</v>
      </c>
      <c r="L17" s="85"/>
    </row>
    <row r="18" s="1" customFormat="1" ht="15.75" spans="1:12">
      <c r="A18" s="355"/>
      <c r="B18" s="357"/>
      <c r="C18" s="357"/>
      <c r="D18" s="357"/>
      <c r="E18" s="353">
        <f t="shared" si="6"/>
        <v>63133615.4</v>
      </c>
      <c r="F18" s="358">
        <f>106000000-37799322.82-5067061.78</f>
        <v>63133615.4</v>
      </c>
      <c r="G18" s="358">
        <v>0</v>
      </c>
      <c r="H18" s="358">
        <v>0</v>
      </c>
      <c r="I18" s="358">
        <v>0</v>
      </c>
      <c r="J18" s="358">
        <v>0</v>
      </c>
      <c r="K18" s="411" t="s">
        <v>95</v>
      </c>
      <c r="L18" s="85"/>
    </row>
    <row r="19" s="1" customFormat="1" ht="15.75" spans="1:12">
      <c r="A19" s="355"/>
      <c r="B19" s="357"/>
      <c r="C19" s="357"/>
      <c r="D19" s="357"/>
      <c r="E19" s="353">
        <f t="shared" si="6"/>
        <v>42866384.6</v>
      </c>
      <c r="F19" s="358">
        <f>37799322.82+5067061.78</f>
        <v>42866384.6</v>
      </c>
      <c r="G19" s="358">
        <v>0</v>
      </c>
      <c r="H19" s="358">
        <v>0</v>
      </c>
      <c r="I19" s="358">
        <v>0</v>
      </c>
      <c r="J19" s="358">
        <v>0</v>
      </c>
      <c r="K19" s="411" t="s">
        <v>117</v>
      </c>
      <c r="L19" s="85"/>
    </row>
    <row r="20" s="1" customFormat="1" ht="19.5" customHeight="1" spans="1:12">
      <c r="A20" s="355"/>
      <c r="B20" s="364"/>
      <c r="C20" s="357"/>
      <c r="D20" s="357"/>
      <c r="E20" s="353">
        <f t="shared" si="6"/>
        <v>20756112.89</v>
      </c>
      <c r="F20" s="358">
        <f>(22776970-598000)-1422857.11</f>
        <v>20756112.89</v>
      </c>
      <c r="G20" s="358">
        <v>0</v>
      </c>
      <c r="H20" s="358">
        <v>0</v>
      </c>
      <c r="I20" s="358">
        <v>0</v>
      </c>
      <c r="J20" s="358">
        <v>0</v>
      </c>
      <c r="K20" s="411" t="s">
        <v>96</v>
      </c>
      <c r="L20" s="85"/>
    </row>
    <row r="21" s="1" customFormat="1" ht="16.5" customHeight="1" spans="1:12">
      <c r="A21" s="365"/>
      <c r="B21" s="366"/>
      <c r="C21" s="357"/>
      <c r="D21" s="357"/>
      <c r="E21" s="353">
        <f t="shared" si="6"/>
        <v>1422857.11</v>
      </c>
      <c r="F21" s="358">
        <v>1422857.11</v>
      </c>
      <c r="G21" s="358">
        <v>0</v>
      </c>
      <c r="H21" s="358">
        <v>0</v>
      </c>
      <c r="I21" s="358">
        <v>0</v>
      </c>
      <c r="J21" s="358">
        <v>0</v>
      </c>
      <c r="K21" s="411" t="s">
        <v>118</v>
      </c>
      <c r="L21" s="85"/>
    </row>
    <row r="22" ht="18.75" spans="1:11">
      <c r="A22" s="315" t="s">
        <v>36</v>
      </c>
      <c r="B22" s="367" t="s">
        <v>37</v>
      </c>
      <c r="C22" s="367"/>
      <c r="D22" s="367"/>
      <c r="E22" s="367"/>
      <c r="F22" s="367"/>
      <c r="G22" s="367"/>
      <c r="H22" s="367"/>
      <c r="I22" s="367"/>
      <c r="J22" s="367"/>
      <c r="K22" s="367"/>
    </row>
    <row r="23" ht="18.75" spans="1:12">
      <c r="A23" s="368" t="s">
        <v>38</v>
      </c>
      <c r="B23" s="369" t="s">
        <v>80</v>
      </c>
      <c r="C23" s="370"/>
      <c r="D23" s="370"/>
      <c r="E23" s="371">
        <f t="shared" ref="E23:E49" si="8">F23+G23+H23+I23+J23</f>
        <v>378198948.38</v>
      </c>
      <c r="F23" s="371">
        <f>F24+F25+F26+F27</f>
        <v>138310399.39</v>
      </c>
      <c r="G23" s="371">
        <f t="shared" ref="G23:J23" si="9">G24+G25+G26+G27</f>
        <v>81534016.55</v>
      </c>
      <c r="H23" s="371">
        <f t="shared" si="9"/>
        <v>79177266.22</v>
      </c>
      <c r="I23" s="371">
        <f t="shared" si="9"/>
        <v>79177266.22</v>
      </c>
      <c r="J23" s="371">
        <f t="shared" si="9"/>
        <v>0</v>
      </c>
      <c r="K23" s="413" t="s">
        <v>10</v>
      </c>
      <c r="L23" s="371">
        <f>L24+L25+L26+L27</f>
        <v>17057864.85</v>
      </c>
    </row>
    <row r="24" spans="1:12">
      <c r="A24" s="372"/>
      <c r="B24" s="373"/>
      <c r="C24" s="370"/>
      <c r="D24" s="370"/>
      <c r="E24" s="371">
        <f t="shared" si="8"/>
        <v>84818282.07</v>
      </c>
      <c r="F24" s="371">
        <f>F36</f>
        <v>84818282.07</v>
      </c>
      <c r="G24" s="371">
        <f t="shared" ref="G24:J24" si="10">G36</f>
        <v>0</v>
      </c>
      <c r="H24" s="371">
        <f t="shared" si="10"/>
        <v>0</v>
      </c>
      <c r="I24" s="371">
        <f t="shared" si="10"/>
        <v>0</v>
      </c>
      <c r="J24" s="371">
        <f t="shared" si="10"/>
        <v>0</v>
      </c>
      <c r="K24" s="371" t="s">
        <v>14</v>
      </c>
      <c r="L24" s="371">
        <f>L36</f>
        <v>0</v>
      </c>
    </row>
    <row r="25" spans="1:12">
      <c r="A25" s="372"/>
      <c r="B25" s="373"/>
      <c r="C25" s="374"/>
      <c r="D25" s="374"/>
      <c r="E25" s="371">
        <f t="shared" si="8"/>
        <v>262492585.52</v>
      </c>
      <c r="F25" s="371">
        <f>F29</f>
        <v>32086740.83</v>
      </c>
      <c r="G25" s="371">
        <f t="shared" ref="G25:J25" si="11">G29</f>
        <v>76801948.23</v>
      </c>
      <c r="H25" s="371">
        <f t="shared" si="11"/>
        <v>76801948.23</v>
      </c>
      <c r="I25" s="371">
        <f t="shared" si="11"/>
        <v>76801948.23</v>
      </c>
      <c r="J25" s="371">
        <f t="shared" si="11"/>
        <v>0</v>
      </c>
      <c r="K25" s="261" t="s">
        <v>15</v>
      </c>
      <c r="L25" s="371">
        <f>L29</f>
        <v>0</v>
      </c>
    </row>
    <row r="26" spans="1:14">
      <c r="A26" s="372"/>
      <c r="B26" s="373"/>
      <c r="C26" s="374"/>
      <c r="D26" s="374"/>
      <c r="E26" s="371">
        <f t="shared" si="8"/>
        <v>9831828.06</v>
      </c>
      <c r="F26" s="371">
        <f>F30+F37</f>
        <v>1849123.76</v>
      </c>
      <c r="G26" s="371">
        <f>G30+G37</f>
        <v>3232068.32</v>
      </c>
      <c r="H26" s="371">
        <f>H30+H37</f>
        <v>2375317.99</v>
      </c>
      <c r="I26" s="371">
        <f>I30+I37</f>
        <v>2375317.99</v>
      </c>
      <c r="J26" s="371">
        <f>J30+J37</f>
        <v>0</v>
      </c>
      <c r="K26" s="261" t="s">
        <v>16</v>
      </c>
      <c r="L26" s="371">
        <f>L30+L37</f>
        <v>0</v>
      </c>
      <c r="M26" s="94"/>
      <c r="N26" s="94"/>
    </row>
    <row r="27" spans="1:14">
      <c r="A27" s="375"/>
      <c r="B27" s="376"/>
      <c r="C27" s="374"/>
      <c r="D27" s="374"/>
      <c r="E27" s="371">
        <f t="shared" si="8"/>
        <v>21056252.73</v>
      </c>
      <c r="F27" s="371">
        <f>F38</f>
        <v>19556252.73</v>
      </c>
      <c r="G27" s="371">
        <f t="shared" ref="G27:J27" si="12">G38</f>
        <v>1500000</v>
      </c>
      <c r="H27" s="371">
        <f t="shared" si="12"/>
        <v>0</v>
      </c>
      <c r="I27" s="371">
        <f t="shared" si="12"/>
        <v>0</v>
      </c>
      <c r="J27" s="371">
        <f t="shared" si="12"/>
        <v>0</v>
      </c>
      <c r="K27" s="371" t="s">
        <v>17</v>
      </c>
      <c r="L27" s="371">
        <f>L38</f>
        <v>17057864.85</v>
      </c>
      <c r="M27" s="94"/>
      <c r="N27" s="94"/>
    </row>
    <row r="28" ht="15.75" spans="1:14">
      <c r="A28" s="377" t="s">
        <v>40</v>
      </c>
      <c r="B28" s="374" t="s">
        <v>81</v>
      </c>
      <c r="C28" s="378"/>
      <c r="D28" s="378"/>
      <c r="E28" s="371">
        <f t="shared" si="8"/>
        <v>270610912.92</v>
      </c>
      <c r="F28" s="379">
        <f>SUM(F29:F30)</f>
        <v>33079114.26</v>
      </c>
      <c r="G28" s="379">
        <f t="shared" ref="G28:J28" si="13">SUM(G29:G30)</f>
        <v>79177266.22</v>
      </c>
      <c r="H28" s="379">
        <f t="shared" si="13"/>
        <v>79177266.22</v>
      </c>
      <c r="I28" s="379">
        <f t="shared" si="13"/>
        <v>79177266.22</v>
      </c>
      <c r="J28" s="379">
        <f t="shared" si="13"/>
        <v>0</v>
      </c>
      <c r="K28" s="414" t="s">
        <v>10</v>
      </c>
      <c r="M28" s="94"/>
      <c r="N28" s="94"/>
    </row>
    <row r="29" ht="15.75" spans="1:11">
      <c r="A29" s="380"/>
      <c r="B29" s="374"/>
      <c r="C29" s="378"/>
      <c r="D29" s="378"/>
      <c r="E29" s="371">
        <f t="shared" si="8"/>
        <v>262492585.52</v>
      </c>
      <c r="F29" s="381">
        <f>F31+F32</f>
        <v>32086740.83</v>
      </c>
      <c r="G29" s="381">
        <f>G31+G32</f>
        <v>76801948.23</v>
      </c>
      <c r="H29" s="381">
        <f>H31+H32</f>
        <v>76801948.23</v>
      </c>
      <c r="I29" s="381">
        <f>I31+I32</f>
        <v>76801948.23</v>
      </c>
      <c r="J29" s="381">
        <f>J31+J32</f>
        <v>0</v>
      </c>
      <c r="K29" s="414" t="s">
        <v>15</v>
      </c>
    </row>
    <row r="30" ht="15.75" spans="1:11">
      <c r="A30" s="380"/>
      <c r="B30" s="374"/>
      <c r="C30" s="378"/>
      <c r="D30" s="378"/>
      <c r="E30" s="371">
        <f t="shared" si="8"/>
        <v>8118327.4</v>
      </c>
      <c r="F30" s="381">
        <f>F33+F34</f>
        <v>992373.43</v>
      </c>
      <c r="G30" s="381">
        <f>G33+G34</f>
        <v>2375317.99</v>
      </c>
      <c r="H30" s="381">
        <f>H33+H34</f>
        <v>2375317.99</v>
      </c>
      <c r="I30" s="381">
        <f>I33+I34</f>
        <v>2375317.99</v>
      </c>
      <c r="J30" s="381">
        <f>J33+J34</f>
        <v>0</v>
      </c>
      <c r="K30" s="414" t="s">
        <v>16</v>
      </c>
    </row>
    <row r="31" ht="15.75" spans="1:11">
      <c r="A31" s="377" t="s">
        <v>42</v>
      </c>
      <c r="B31" s="374" t="s">
        <v>43</v>
      </c>
      <c r="C31" s="27"/>
      <c r="D31" s="27"/>
      <c r="E31" s="371">
        <f t="shared" si="8"/>
        <v>253593644.22</v>
      </c>
      <c r="F31" s="28">
        <f>26400000-3212200.47</f>
        <v>23187799.53</v>
      </c>
      <c r="G31" s="28">
        <v>76801948.23</v>
      </c>
      <c r="H31" s="28">
        <v>76801948.23</v>
      </c>
      <c r="I31" s="28">
        <v>76801948.23</v>
      </c>
      <c r="J31" s="28">
        <v>0</v>
      </c>
      <c r="K31" s="64" t="s">
        <v>23</v>
      </c>
    </row>
    <row r="32" ht="15.75" spans="1:11">
      <c r="A32" s="380"/>
      <c r="B32" s="374"/>
      <c r="C32" s="27"/>
      <c r="D32" s="27"/>
      <c r="E32" s="371">
        <f t="shared" si="8"/>
        <v>8898941.3</v>
      </c>
      <c r="F32" s="28">
        <f>5686740.83+3212200.47</f>
        <v>8898941.3</v>
      </c>
      <c r="G32" s="28">
        <v>0</v>
      </c>
      <c r="H32" s="28">
        <v>0</v>
      </c>
      <c r="I32" s="28">
        <v>0</v>
      </c>
      <c r="J32" s="28">
        <v>0</v>
      </c>
      <c r="K32" s="64" t="s">
        <v>24</v>
      </c>
    </row>
    <row r="33" ht="15.75" spans="1:11">
      <c r="A33" s="380"/>
      <c r="B33" s="374"/>
      <c r="C33" s="27"/>
      <c r="D33" s="27"/>
      <c r="E33" s="371">
        <f t="shared" si="8"/>
        <v>7843102.41</v>
      </c>
      <c r="F33" s="28">
        <f>816494.85-99346.41</f>
        <v>717148.44</v>
      </c>
      <c r="G33" s="28">
        <v>2375317.99</v>
      </c>
      <c r="H33" s="28">
        <v>2375317.99</v>
      </c>
      <c r="I33" s="28">
        <v>2375317.99</v>
      </c>
      <c r="J33" s="28">
        <v>0</v>
      </c>
      <c r="K33" s="64" t="s">
        <v>44</v>
      </c>
    </row>
    <row r="34" ht="15.75" spans="1:11">
      <c r="A34" s="380"/>
      <c r="B34" s="374"/>
      <c r="C34" s="27"/>
      <c r="D34" s="27"/>
      <c r="E34" s="371">
        <f t="shared" si="8"/>
        <v>275224.99</v>
      </c>
      <c r="F34" s="28">
        <f>175878.58+99346.41</f>
        <v>275224.99</v>
      </c>
      <c r="G34" s="28">
        <v>0</v>
      </c>
      <c r="H34" s="28">
        <v>0</v>
      </c>
      <c r="I34" s="28">
        <v>0</v>
      </c>
      <c r="J34" s="28">
        <v>0</v>
      </c>
      <c r="K34" s="64" t="s">
        <v>45</v>
      </c>
    </row>
    <row r="35" ht="15.75" spans="1:11">
      <c r="A35" s="377" t="s">
        <v>48</v>
      </c>
      <c r="B35" s="382" t="s">
        <v>82</v>
      </c>
      <c r="C35" s="383"/>
      <c r="D35" s="383"/>
      <c r="E35" s="371">
        <f t="shared" si="8"/>
        <v>86531782.73</v>
      </c>
      <c r="F35" s="384">
        <f>SUM(F36:F37)</f>
        <v>85675032.4</v>
      </c>
      <c r="G35" s="384">
        <f t="shared" ref="G35:J35" si="14">SUM(G36:G37)</f>
        <v>856750.33</v>
      </c>
      <c r="H35" s="384">
        <f t="shared" si="14"/>
        <v>0</v>
      </c>
      <c r="I35" s="384">
        <f t="shared" si="14"/>
        <v>0</v>
      </c>
      <c r="J35" s="384">
        <f t="shared" si="14"/>
        <v>0</v>
      </c>
      <c r="K35" s="415" t="s">
        <v>50</v>
      </c>
    </row>
    <row r="36" ht="15.75" spans="1:11">
      <c r="A36" s="380"/>
      <c r="B36" s="385"/>
      <c r="C36" s="383"/>
      <c r="D36" s="383"/>
      <c r="E36" s="371">
        <f t="shared" si="8"/>
        <v>84818282.07</v>
      </c>
      <c r="F36" s="386">
        <v>84818282.07</v>
      </c>
      <c r="G36" s="386">
        <v>0</v>
      </c>
      <c r="H36" s="386">
        <v>0</v>
      </c>
      <c r="I36" s="386">
        <v>0</v>
      </c>
      <c r="J36" s="386">
        <v>0</v>
      </c>
      <c r="K36" s="415" t="s">
        <v>20</v>
      </c>
    </row>
    <row r="37" ht="15.75" spans="1:11">
      <c r="A37" s="380"/>
      <c r="B37" s="385"/>
      <c r="C37" s="383"/>
      <c r="D37" s="383"/>
      <c r="E37" s="371">
        <f t="shared" si="8"/>
        <v>1713500.66</v>
      </c>
      <c r="F37" s="386">
        <v>856750.33</v>
      </c>
      <c r="G37" s="386">
        <v>856750.33</v>
      </c>
      <c r="H37" s="386">
        <v>0</v>
      </c>
      <c r="I37" s="386">
        <v>0</v>
      </c>
      <c r="J37" s="386">
        <v>0</v>
      </c>
      <c r="K37" s="415" t="s">
        <v>44</v>
      </c>
    </row>
    <row r="38" s="1" customFormat="1" ht="15.75" spans="1:12">
      <c r="A38" s="377" t="s">
        <v>83</v>
      </c>
      <c r="B38" s="382" t="s">
        <v>84</v>
      </c>
      <c r="C38" s="357"/>
      <c r="D38" s="357"/>
      <c r="E38" s="371">
        <f t="shared" si="8"/>
        <v>21056252.73</v>
      </c>
      <c r="F38" s="386">
        <f>F40+F39+F41</f>
        <v>19556252.73</v>
      </c>
      <c r="G38" s="386">
        <f>G40+G39</f>
        <v>1500000</v>
      </c>
      <c r="H38" s="386">
        <f>H40+H39</f>
        <v>0</v>
      </c>
      <c r="I38" s="386">
        <f>I40+I39</f>
        <v>0</v>
      </c>
      <c r="J38" s="386">
        <f>J40+J39</f>
        <v>0</v>
      </c>
      <c r="K38" s="416" t="s">
        <v>13</v>
      </c>
      <c r="L38" s="417">
        <f>L40+L39+L41</f>
        <v>17057864.85</v>
      </c>
    </row>
    <row r="39" s="1" customFormat="1" ht="15.75" spans="1:12">
      <c r="A39" s="380"/>
      <c r="B39" s="385"/>
      <c r="C39" s="357"/>
      <c r="D39" s="357"/>
      <c r="E39" s="371">
        <f t="shared" si="8"/>
        <v>15858252.73</v>
      </c>
      <c r="F39" s="386">
        <f>1800387.88+L39</f>
        <v>14358252.73</v>
      </c>
      <c r="G39" s="386">
        <v>1500000</v>
      </c>
      <c r="H39" s="386">
        <v>0</v>
      </c>
      <c r="I39" s="386">
        <v>0</v>
      </c>
      <c r="J39" s="386">
        <v>0</v>
      </c>
      <c r="K39" s="415" t="s">
        <v>29</v>
      </c>
      <c r="L39" s="85">
        <f>5500000+6500000+23484.85+75710.7+133771.91+324897.39</f>
        <v>12557864.85</v>
      </c>
    </row>
    <row r="40" s="1" customFormat="1" ht="15.75" spans="1:12">
      <c r="A40" s="380"/>
      <c r="B40" s="385"/>
      <c r="C40" s="357"/>
      <c r="D40" s="357"/>
      <c r="E40" s="371">
        <f t="shared" si="8"/>
        <v>4600000</v>
      </c>
      <c r="F40" s="386">
        <f>100000+L40</f>
        <v>4600000</v>
      </c>
      <c r="G40" s="386">
        <v>0</v>
      </c>
      <c r="H40" s="386">
        <v>0</v>
      </c>
      <c r="I40" s="386">
        <v>0</v>
      </c>
      <c r="J40" s="386">
        <v>0</v>
      </c>
      <c r="K40" s="415" t="s">
        <v>30</v>
      </c>
      <c r="L40" s="85">
        <v>4500000</v>
      </c>
    </row>
    <row r="41" s="1" customFormat="1" ht="15.75" spans="1:12">
      <c r="A41" s="380"/>
      <c r="B41" s="385"/>
      <c r="C41" s="357"/>
      <c r="D41" s="357"/>
      <c r="E41" s="371">
        <f t="shared" si="8"/>
        <v>598000</v>
      </c>
      <c r="F41" s="386">
        <v>598000</v>
      </c>
      <c r="G41" s="386">
        <v>0</v>
      </c>
      <c r="H41" s="386">
        <v>0</v>
      </c>
      <c r="I41" s="386">
        <v>0</v>
      </c>
      <c r="J41" s="386">
        <v>0</v>
      </c>
      <c r="K41" s="415" t="s">
        <v>101</v>
      </c>
      <c r="L41" s="85"/>
    </row>
    <row r="42" ht="18.75" spans="1:11">
      <c r="A42" s="315" t="s">
        <v>55</v>
      </c>
      <c r="B42" s="367" t="s">
        <v>56</v>
      </c>
      <c r="C42" s="367"/>
      <c r="D42" s="367"/>
      <c r="E42" s="367"/>
      <c r="F42" s="367"/>
      <c r="G42" s="367"/>
      <c r="H42" s="367"/>
      <c r="I42" s="367"/>
      <c r="J42" s="367"/>
      <c r="K42" s="367"/>
    </row>
    <row r="43" ht="15.75" spans="1:12">
      <c r="A43" s="387" t="s">
        <v>57</v>
      </c>
      <c r="B43" s="388" t="s">
        <v>85</v>
      </c>
      <c r="C43" s="389"/>
      <c r="D43" s="389"/>
      <c r="E43" s="390">
        <f t="shared" si="8"/>
        <v>8737726.51</v>
      </c>
      <c r="F43" s="391">
        <f>F44+F45</f>
        <v>8737726.51</v>
      </c>
      <c r="G43" s="391">
        <f t="shared" ref="G43:J43" si="15">G44+G45</f>
        <v>0</v>
      </c>
      <c r="H43" s="391">
        <f t="shared" si="15"/>
        <v>0</v>
      </c>
      <c r="I43" s="391">
        <f t="shared" si="15"/>
        <v>0</v>
      </c>
      <c r="J43" s="391">
        <f t="shared" si="15"/>
        <v>0</v>
      </c>
      <c r="K43" s="418" t="s">
        <v>10</v>
      </c>
      <c r="L43" s="419">
        <f>L44+L45</f>
        <v>-2348485.33</v>
      </c>
    </row>
    <row r="44" ht="15.75" spans="1:12">
      <c r="A44" s="392"/>
      <c r="B44" s="388"/>
      <c r="C44" s="389"/>
      <c r="D44" s="389"/>
      <c r="E44" s="390">
        <f t="shared" si="8"/>
        <v>8639999.24</v>
      </c>
      <c r="F44" s="391">
        <f>F46+F47</f>
        <v>8639999.24</v>
      </c>
      <c r="G44" s="391">
        <f t="shared" ref="G44:J44" si="16">G46+G47</f>
        <v>0</v>
      </c>
      <c r="H44" s="391">
        <f t="shared" si="16"/>
        <v>0</v>
      </c>
      <c r="I44" s="391">
        <f t="shared" si="16"/>
        <v>0</v>
      </c>
      <c r="J44" s="391">
        <f t="shared" si="16"/>
        <v>0</v>
      </c>
      <c r="K44" s="418" t="s">
        <v>15</v>
      </c>
      <c r="L44" s="419">
        <f>L46+L47</f>
        <v>-2325000.48</v>
      </c>
    </row>
    <row r="45" ht="15.75" spans="1:12">
      <c r="A45" s="392"/>
      <c r="B45" s="388"/>
      <c r="C45" s="389"/>
      <c r="D45" s="389"/>
      <c r="E45" s="390">
        <f t="shared" si="8"/>
        <v>97727.27</v>
      </c>
      <c r="F45" s="391">
        <f>F48+F49</f>
        <v>97727.27</v>
      </c>
      <c r="G45" s="391">
        <f t="shared" ref="G45:J45" si="17">G48+G49</f>
        <v>0</v>
      </c>
      <c r="H45" s="391">
        <f t="shared" si="17"/>
        <v>0</v>
      </c>
      <c r="I45" s="391">
        <f t="shared" si="17"/>
        <v>0</v>
      </c>
      <c r="J45" s="391">
        <f t="shared" si="17"/>
        <v>0</v>
      </c>
      <c r="K45" s="418" t="s">
        <v>16</v>
      </c>
      <c r="L45" s="419">
        <f>L48+L49</f>
        <v>-23484.85</v>
      </c>
    </row>
    <row r="46" ht="15.75" spans="1:12">
      <c r="A46" s="393" t="s">
        <v>59</v>
      </c>
      <c r="B46" s="394" t="s">
        <v>86</v>
      </c>
      <c r="C46" s="27"/>
      <c r="D46" s="27"/>
      <c r="E46" s="390">
        <f t="shared" si="8"/>
        <v>8639999.24</v>
      </c>
      <c r="F46" s="28">
        <f>9674999.52-1035000.28</f>
        <v>8639999.24</v>
      </c>
      <c r="G46" s="28">
        <v>0</v>
      </c>
      <c r="H46" s="28">
        <v>0</v>
      </c>
      <c r="I46" s="28">
        <v>0</v>
      </c>
      <c r="J46" s="28">
        <v>0</v>
      </c>
      <c r="K46" s="411" t="s">
        <v>65</v>
      </c>
      <c r="L46" s="2">
        <v>-2325000.48</v>
      </c>
    </row>
    <row r="47" ht="15.75" spans="1:11">
      <c r="A47" s="393"/>
      <c r="B47" s="394"/>
      <c r="C47" s="27"/>
      <c r="D47" s="27"/>
      <c r="E47" s="390">
        <f t="shared" si="8"/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412" t="s">
        <v>67</v>
      </c>
    </row>
    <row r="48" ht="15.75" spans="1:12">
      <c r="A48" s="393"/>
      <c r="B48" s="394"/>
      <c r="C48" s="27"/>
      <c r="D48" s="27"/>
      <c r="E48" s="390">
        <f t="shared" si="8"/>
        <v>97727.27</v>
      </c>
      <c r="F48" s="28">
        <v>97727.27</v>
      </c>
      <c r="G48" s="28">
        <v>0</v>
      </c>
      <c r="H48" s="28">
        <v>0</v>
      </c>
      <c r="I48" s="28">
        <v>0</v>
      </c>
      <c r="J48" s="28">
        <v>0</v>
      </c>
      <c r="K48" s="411" t="s">
        <v>44</v>
      </c>
      <c r="L48" s="2">
        <v>-23484.85</v>
      </c>
    </row>
    <row r="49" ht="15.75" spans="1:11">
      <c r="A49" s="393"/>
      <c r="B49" s="395"/>
      <c r="C49" s="27"/>
      <c r="D49" s="27"/>
      <c r="E49" s="390">
        <f t="shared" si="8"/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412" t="s">
        <v>45</v>
      </c>
    </row>
    <row r="50" ht="16.5" customHeight="1" spans="1:12">
      <c r="A50" s="396" t="s">
        <v>70</v>
      </c>
      <c r="B50" s="397"/>
      <c r="C50" s="397"/>
      <c r="D50" s="398"/>
      <c r="E50" s="279">
        <f t="shared" ref="E50:E54" si="18">SUM(F50:J50)</f>
        <v>593013940.58</v>
      </c>
      <c r="F50" s="279">
        <f>F51+F52+F53+F54</f>
        <v>311612202.48</v>
      </c>
      <c r="G50" s="279">
        <f>G51+G52+G53+G54</f>
        <v>123047205.66</v>
      </c>
      <c r="H50" s="279">
        <f t="shared" ref="H50:J50" si="19">H51+H52+H53+H54</f>
        <v>79177266.22</v>
      </c>
      <c r="I50" s="279">
        <f t="shared" si="19"/>
        <v>79177266.22</v>
      </c>
      <c r="J50" s="279">
        <f t="shared" si="19"/>
        <v>0</v>
      </c>
      <c r="K50" s="340"/>
      <c r="L50" s="278">
        <f>L51+L52+L53+L54</f>
        <v>14709379.52</v>
      </c>
    </row>
    <row r="51" ht="18.75" spans="1:12">
      <c r="A51" s="399"/>
      <c r="B51" s="400"/>
      <c r="C51" s="400"/>
      <c r="D51" s="401"/>
      <c r="E51" s="279">
        <f t="shared" si="18"/>
        <v>266776910.2</v>
      </c>
      <c r="F51" s="280">
        <f>F5+F24</f>
        <v>226297399.5</v>
      </c>
      <c r="G51" s="280">
        <f>G5+G24</f>
        <v>40479510.7</v>
      </c>
      <c r="H51" s="280">
        <f>H5+H24</f>
        <v>0</v>
      </c>
      <c r="I51" s="280">
        <f>I5+I24</f>
        <v>0</v>
      </c>
      <c r="J51" s="280">
        <f>J5+J24</f>
        <v>0</v>
      </c>
      <c r="K51" s="420" t="s">
        <v>14</v>
      </c>
      <c r="L51" s="280">
        <f>L5+L24</f>
        <v>0</v>
      </c>
    </row>
    <row r="52" ht="18.75" spans="1:12">
      <c r="A52" s="399"/>
      <c r="B52" s="400"/>
      <c r="C52" s="400"/>
      <c r="D52" s="401"/>
      <c r="E52" s="279">
        <f t="shared" si="18"/>
        <v>272682760.84</v>
      </c>
      <c r="F52" s="280">
        <f t="shared" ref="F52:J53" si="20">F6+F25+F44</f>
        <v>41450803.69</v>
      </c>
      <c r="G52" s="280">
        <f t="shared" si="20"/>
        <v>77628060.69</v>
      </c>
      <c r="H52" s="280">
        <f t="shared" si="20"/>
        <v>76801948.23</v>
      </c>
      <c r="I52" s="280">
        <f t="shared" si="20"/>
        <v>76801948.23</v>
      </c>
      <c r="J52" s="280">
        <f t="shared" si="20"/>
        <v>0</v>
      </c>
      <c r="K52" s="420" t="s">
        <v>71</v>
      </c>
      <c r="L52" s="281">
        <f t="shared" ref="L52:L53" si="21">L6+L25+L44</f>
        <v>-2325000.48</v>
      </c>
    </row>
    <row r="53" ht="18.75" customHeight="1" spans="1:12">
      <c r="A53" s="399"/>
      <c r="B53" s="400"/>
      <c r="C53" s="400"/>
      <c r="D53" s="401"/>
      <c r="E53" s="279">
        <f t="shared" si="18"/>
        <v>10319046.81</v>
      </c>
      <c r="F53" s="280">
        <f t="shared" si="20"/>
        <v>2128776.56</v>
      </c>
      <c r="G53" s="280">
        <f t="shared" si="20"/>
        <v>3439634.27</v>
      </c>
      <c r="H53" s="280">
        <f t="shared" si="20"/>
        <v>2375317.99</v>
      </c>
      <c r="I53" s="280">
        <f t="shared" si="20"/>
        <v>2375317.99</v>
      </c>
      <c r="J53" s="280">
        <f t="shared" si="20"/>
        <v>0</v>
      </c>
      <c r="K53" s="287" t="s">
        <v>16</v>
      </c>
      <c r="L53" s="281">
        <f t="shared" si="21"/>
        <v>-23484.85</v>
      </c>
    </row>
    <row r="54" ht="18.75" customHeight="1" spans="1:12">
      <c r="A54" s="402"/>
      <c r="B54" s="403"/>
      <c r="C54" s="403"/>
      <c r="D54" s="404"/>
      <c r="E54" s="279">
        <f t="shared" si="18"/>
        <v>43235222.73</v>
      </c>
      <c r="F54" s="282">
        <f>F27+F8</f>
        <v>41735222.73</v>
      </c>
      <c r="G54" s="282">
        <f>G27+G8</f>
        <v>1500000</v>
      </c>
      <c r="H54" s="282">
        <f t="shared" ref="H54:J54" si="22">H27</f>
        <v>0</v>
      </c>
      <c r="I54" s="282">
        <f t="shared" si="22"/>
        <v>0</v>
      </c>
      <c r="J54" s="282">
        <f t="shared" si="22"/>
        <v>0</v>
      </c>
      <c r="K54" s="287" t="s">
        <v>73</v>
      </c>
      <c r="L54" s="283">
        <f>L27+L8</f>
        <v>17057864.85</v>
      </c>
    </row>
    <row r="55" ht="18.75" spans="1:11">
      <c r="A55" s="284" t="s">
        <v>122</v>
      </c>
      <c r="B55" s="284"/>
      <c r="C55" s="284"/>
      <c r="D55" s="284"/>
      <c r="E55" s="323"/>
      <c r="F55" s="323"/>
      <c r="G55" s="323"/>
      <c r="H55" s="323"/>
      <c r="I55" s="323"/>
      <c r="J55" s="323"/>
      <c r="K55" s="340"/>
    </row>
    <row r="56" ht="15.75" spans="1:11">
      <c r="A56" s="83"/>
      <c r="B56" s="84"/>
      <c r="C56" s="84"/>
      <c r="D56" s="84"/>
      <c r="E56" s="85">
        <f>E53+E54</f>
        <v>53554269.54</v>
      </c>
      <c r="F56" s="83"/>
      <c r="G56" s="83"/>
      <c r="H56" s="83"/>
      <c r="I56" s="83"/>
      <c r="J56" s="93"/>
      <c r="K56" s="93"/>
    </row>
    <row r="57" ht="15.75" spans="1:11">
      <c r="A57" s="83"/>
      <c r="B57" s="83"/>
      <c r="C57" s="83"/>
      <c r="D57" s="83"/>
      <c r="E57" s="83"/>
      <c r="F57" s="83"/>
      <c r="G57" s="83"/>
      <c r="H57" s="83"/>
      <c r="I57" s="83" t="s">
        <v>87</v>
      </c>
      <c r="J57" s="29"/>
      <c r="K57" s="29">
        <v>178063747.64</v>
      </c>
    </row>
    <row r="58" s="1" customFormat="1" ht="15.75" spans="1:12">
      <c r="A58" s="83"/>
      <c r="B58" s="83"/>
      <c r="C58" s="83"/>
      <c r="D58" s="83"/>
      <c r="E58" s="83"/>
      <c r="F58" s="83"/>
      <c r="G58" s="83"/>
      <c r="H58" s="83"/>
      <c r="I58" s="83" t="s">
        <v>88</v>
      </c>
      <c r="J58" s="29"/>
      <c r="K58" s="29">
        <v>506829756.46</v>
      </c>
      <c r="L58" s="85"/>
    </row>
    <row r="59" s="1" customFormat="1" ht="15.75" spans="1:12">
      <c r="A59" s="83"/>
      <c r="B59" s="83"/>
      <c r="C59" s="83"/>
      <c r="D59" s="83"/>
      <c r="E59" s="83"/>
      <c r="F59" s="83"/>
      <c r="G59" s="83"/>
      <c r="H59" s="83"/>
      <c r="I59" s="83" t="s">
        <v>123</v>
      </c>
      <c r="J59" s="29"/>
      <c r="K59" s="29">
        <f>F50+G50+H50</f>
        <v>513836674.36</v>
      </c>
      <c r="L59" s="85"/>
    </row>
    <row r="60" s="1" customFormat="1" ht="15.75" spans="1:12">
      <c r="A60" s="83"/>
      <c r="B60" s="83"/>
      <c r="C60" s="83"/>
      <c r="D60" s="83"/>
      <c r="E60" s="83"/>
      <c r="F60" s="83"/>
      <c r="G60" s="83"/>
      <c r="H60" s="83"/>
      <c r="I60" s="83" t="s">
        <v>124</v>
      </c>
      <c r="J60" s="29"/>
      <c r="K60" s="29">
        <f>I50+J50</f>
        <v>79177266.22</v>
      </c>
      <c r="L60" s="85"/>
    </row>
    <row r="61" s="1" customFormat="1" ht="15.75" spans="1:12">
      <c r="A61" s="83"/>
      <c r="B61" s="83"/>
      <c r="C61" s="83"/>
      <c r="D61" s="83"/>
      <c r="E61" s="85">
        <f>L50</f>
        <v>14709379.52</v>
      </c>
      <c r="F61" s="83"/>
      <c r="G61" s="83"/>
      <c r="H61" s="83"/>
      <c r="I61" s="83"/>
      <c r="J61" s="29"/>
      <c r="K61" s="421">
        <f>K57+K58+K59+K60</f>
        <v>1277907444.68</v>
      </c>
      <c r="L61" s="85"/>
    </row>
    <row r="75" spans="11:11">
      <c r="K75" s="4" t="s">
        <v>125</v>
      </c>
    </row>
  </sheetData>
  <mergeCells count="23">
    <mergeCell ref="B22:K22"/>
    <mergeCell ref="B42:K42"/>
    <mergeCell ref="A55:D55"/>
    <mergeCell ref="A4:A7"/>
    <mergeCell ref="A9:A16"/>
    <mergeCell ref="A17:A20"/>
    <mergeCell ref="A23:A27"/>
    <mergeCell ref="A28:A30"/>
    <mergeCell ref="A31:A34"/>
    <mergeCell ref="A35:A37"/>
    <mergeCell ref="A38:A41"/>
    <mergeCell ref="A43:A45"/>
    <mergeCell ref="A46:A49"/>
    <mergeCell ref="B4:B7"/>
    <mergeCell ref="B9:B16"/>
    <mergeCell ref="B17:B20"/>
    <mergeCell ref="B23:B27"/>
    <mergeCell ref="B28:B30"/>
    <mergeCell ref="B31:B34"/>
    <mergeCell ref="B35:B37"/>
    <mergeCell ref="B38:B41"/>
    <mergeCell ref="B43:B45"/>
    <mergeCell ref="B46:B49"/>
  </mergeCells>
  <pageMargins left="0.118110236220472" right="0.118110236220472" top="0.15748031496063" bottom="0.15748031496063" header="0.31496062992126" footer="0.31496062992126"/>
  <pageSetup paperSize="9" scale="64" fitToHeight="0" orientation="portrait" blackAndWhite="1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8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7.1428571428571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9" width="14.2857142857143" style="3" customWidth="1"/>
    <col min="10" max="10" width="9.14285714285714" style="3" customWidth="1"/>
    <col min="11" max="11" width="17.2857142857143" style="4" customWidth="1"/>
    <col min="12" max="12" width="0.142857142857143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58.5" customHeight="1" spans="1:14">
      <c r="A1" s="344" t="s">
        <v>0</v>
      </c>
      <c r="B1" s="345" t="s">
        <v>1</v>
      </c>
      <c r="C1" s="345" t="s">
        <v>2</v>
      </c>
      <c r="D1" s="345" t="s">
        <v>3</v>
      </c>
      <c r="E1" s="345" t="s">
        <v>4</v>
      </c>
      <c r="F1" s="346">
        <v>2023</v>
      </c>
      <c r="G1" s="346">
        <v>2024</v>
      </c>
      <c r="H1" s="347">
        <v>2025</v>
      </c>
      <c r="I1" s="346">
        <v>2026</v>
      </c>
      <c r="J1" s="346">
        <v>2027</v>
      </c>
      <c r="K1" s="405" t="s">
        <v>126</v>
      </c>
      <c r="L1" s="406"/>
      <c r="M1" s="406"/>
      <c r="N1" s="406"/>
    </row>
    <row r="2" spans="1:11">
      <c r="A2" s="19">
        <v>1</v>
      </c>
      <c r="B2" s="19">
        <v>2</v>
      </c>
      <c r="C2" s="19">
        <v>3</v>
      </c>
      <c r="D2" s="19">
        <v>4</v>
      </c>
      <c r="E2" s="19">
        <v>5</v>
      </c>
      <c r="F2" s="19">
        <v>6</v>
      </c>
      <c r="G2" s="19">
        <v>7</v>
      </c>
      <c r="H2" s="19">
        <v>8</v>
      </c>
      <c r="I2" s="19">
        <v>9</v>
      </c>
      <c r="J2" s="19">
        <v>10</v>
      </c>
      <c r="K2" s="19">
        <v>11</v>
      </c>
    </row>
    <row r="3" s="1" customFormat="1" ht="19.5" spans="1:12">
      <c r="A3" s="301" t="s">
        <v>6</v>
      </c>
      <c r="B3" s="348" t="s">
        <v>7</v>
      </c>
      <c r="C3" s="349"/>
      <c r="D3" s="349"/>
      <c r="E3" s="349"/>
      <c r="F3" s="315"/>
      <c r="G3" s="315"/>
      <c r="H3" s="349"/>
      <c r="I3" s="315"/>
      <c r="J3" s="315"/>
      <c r="K3" s="407"/>
      <c r="L3" s="85"/>
    </row>
    <row r="4" s="1" customFormat="1" ht="15.75" spans="1:12">
      <c r="A4" s="350" t="s">
        <v>8</v>
      </c>
      <c r="B4" s="351" t="s">
        <v>77</v>
      </c>
      <c r="C4" s="352"/>
      <c r="D4" s="352"/>
      <c r="E4" s="353">
        <f>F4+G4+H4+I4+J4</f>
        <v>202369901.86</v>
      </c>
      <c r="F4" s="354">
        <f>SUM(F5:F8)</f>
        <v>164564076.58</v>
      </c>
      <c r="G4" s="354">
        <f>SUM(G5:G8)</f>
        <v>37805825.28</v>
      </c>
      <c r="H4" s="354">
        <f t="shared" ref="H4:J4" si="0">SUM(H5:H8)</f>
        <v>0</v>
      </c>
      <c r="I4" s="354">
        <f t="shared" si="0"/>
        <v>0</v>
      </c>
      <c r="J4" s="354">
        <f t="shared" si="0"/>
        <v>0</v>
      </c>
      <c r="K4" s="408" t="s">
        <v>13</v>
      </c>
      <c r="L4" s="85"/>
    </row>
    <row r="5" s="1" customFormat="1" ht="15.75" spans="1:12">
      <c r="A5" s="355"/>
      <c r="B5" s="352"/>
      <c r="C5" s="352"/>
      <c r="D5" s="352"/>
      <c r="E5" s="353">
        <f t="shared" ref="E5:E12" si="1">SUM(F5:J5)</f>
        <v>178080756.49</v>
      </c>
      <c r="F5" s="354">
        <f>F10+F11+F18+F19</f>
        <v>141479117.43</v>
      </c>
      <c r="G5" s="354">
        <f>G10+G11+G18+G19</f>
        <v>36601639.06</v>
      </c>
      <c r="H5" s="354">
        <f t="shared" ref="H5:J5" si="2">H10+H11+H18+H19</f>
        <v>0</v>
      </c>
      <c r="I5" s="354">
        <f t="shared" si="2"/>
        <v>0</v>
      </c>
      <c r="J5" s="354">
        <f t="shared" si="2"/>
        <v>0</v>
      </c>
      <c r="K5" s="409" t="s">
        <v>78</v>
      </c>
      <c r="L5" s="85"/>
    </row>
    <row r="6" s="1" customFormat="1" ht="15.75" spans="1:12">
      <c r="A6" s="355"/>
      <c r="B6" s="352"/>
      <c r="C6" s="352"/>
      <c r="D6" s="352"/>
      <c r="E6" s="353">
        <f t="shared" si="1"/>
        <v>1471035.85</v>
      </c>
      <c r="F6" s="354">
        <f>F12+F13</f>
        <v>724063.62</v>
      </c>
      <c r="G6" s="354">
        <f>G12+G13</f>
        <v>746972.23</v>
      </c>
      <c r="H6" s="354">
        <f t="shared" ref="H6:J6" si="3">H12+H13</f>
        <v>0</v>
      </c>
      <c r="I6" s="354">
        <f t="shared" si="3"/>
        <v>0</v>
      </c>
      <c r="J6" s="354">
        <f t="shared" si="3"/>
        <v>0</v>
      </c>
      <c r="K6" s="409" t="s">
        <v>71</v>
      </c>
      <c r="L6" s="85"/>
    </row>
    <row r="7" s="1" customFormat="1" ht="15.75" spans="1:12">
      <c r="A7" s="355"/>
      <c r="B7" s="352"/>
      <c r="C7" s="352"/>
      <c r="D7" s="352"/>
      <c r="E7" s="353">
        <f t="shared" si="1"/>
        <v>369606.99</v>
      </c>
      <c r="F7" s="354">
        <f>F14+F15</f>
        <v>181925.53</v>
      </c>
      <c r="G7" s="354">
        <f>G14+G15</f>
        <v>187681.46</v>
      </c>
      <c r="H7" s="354">
        <f t="shared" ref="H7:J7" si="4">H14+H15</f>
        <v>0</v>
      </c>
      <c r="I7" s="354">
        <f t="shared" si="4"/>
        <v>0</v>
      </c>
      <c r="J7" s="354">
        <f t="shared" si="4"/>
        <v>0</v>
      </c>
      <c r="K7" s="409" t="s">
        <v>16</v>
      </c>
      <c r="L7" s="85"/>
    </row>
    <row r="8" s="1" customFormat="1" ht="16.5" spans="1:12">
      <c r="A8" s="355"/>
      <c r="B8" s="352"/>
      <c r="C8" s="352"/>
      <c r="D8" s="352"/>
      <c r="E8" s="353">
        <f t="shared" si="1"/>
        <v>22448502.53</v>
      </c>
      <c r="F8" s="354">
        <f>F20+F21</f>
        <v>22178970</v>
      </c>
      <c r="G8" s="354">
        <f>G20+G21+G16</f>
        <v>269532.53</v>
      </c>
      <c r="H8" s="354">
        <v>0</v>
      </c>
      <c r="I8" s="354">
        <v>0</v>
      </c>
      <c r="J8" s="354">
        <v>0</v>
      </c>
      <c r="K8" s="409" t="s">
        <v>73</v>
      </c>
      <c r="L8" s="85"/>
    </row>
    <row r="9" s="1" customFormat="1" ht="15.75" spans="1:12">
      <c r="A9" s="350" t="s">
        <v>11</v>
      </c>
      <c r="B9" s="356" t="s">
        <v>79</v>
      </c>
      <c r="C9" s="352"/>
      <c r="D9" s="352"/>
      <c r="E9" s="353">
        <f t="shared" si="1"/>
        <v>74190931.86</v>
      </c>
      <c r="F9" s="354">
        <f>F10+F11+F12+F13+F14+F16</f>
        <v>36385106.58</v>
      </c>
      <c r="G9" s="354">
        <f>G10+G11+G12+G13+G14+G16+G15</f>
        <v>37805825.28</v>
      </c>
      <c r="H9" s="354">
        <f t="shared" ref="H9:J9" si="5">H10+H11+H12+H13+H14+H16</f>
        <v>0</v>
      </c>
      <c r="I9" s="354">
        <f t="shared" si="5"/>
        <v>0</v>
      </c>
      <c r="J9" s="354">
        <f t="shared" si="5"/>
        <v>0</v>
      </c>
      <c r="K9" s="408" t="s">
        <v>13</v>
      </c>
      <c r="L9" s="85"/>
    </row>
    <row r="10" s="1" customFormat="1" ht="15.75" spans="1:12">
      <c r="A10" s="355"/>
      <c r="B10" s="357"/>
      <c r="C10" s="357"/>
      <c r="D10" s="357"/>
      <c r="E10" s="353">
        <f t="shared" si="1"/>
        <v>72080756.49</v>
      </c>
      <c r="F10" s="358">
        <v>35479117.43</v>
      </c>
      <c r="G10" s="359">
        <v>36601639.06</v>
      </c>
      <c r="H10" s="360">
        <v>0</v>
      </c>
      <c r="I10" s="410">
        <v>0</v>
      </c>
      <c r="J10" s="410">
        <v>0</v>
      </c>
      <c r="K10" s="411" t="s">
        <v>20</v>
      </c>
      <c r="L10" s="85"/>
    </row>
    <row r="11" s="1" customFormat="1" ht="15.75" spans="1:12">
      <c r="A11" s="355"/>
      <c r="B11" s="357"/>
      <c r="C11" s="357"/>
      <c r="D11" s="357"/>
      <c r="E11" s="353">
        <f t="shared" si="1"/>
        <v>0</v>
      </c>
      <c r="F11" s="361">
        <v>0</v>
      </c>
      <c r="G11" s="361">
        <v>0</v>
      </c>
      <c r="H11" s="361">
        <v>0</v>
      </c>
      <c r="I11" s="361">
        <v>0</v>
      </c>
      <c r="J11" s="361">
        <v>0</v>
      </c>
      <c r="K11" s="412" t="s">
        <v>21</v>
      </c>
      <c r="L11" s="85"/>
    </row>
    <row r="12" s="1" customFormat="1" ht="15.75" spans="1:12">
      <c r="A12" s="355"/>
      <c r="B12" s="357"/>
      <c r="C12" s="357"/>
      <c r="D12" s="357"/>
      <c r="E12" s="353">
        <f t="shared" si="1"/>
        <v>1471035.85</v>
      </c>
      <c r="F12" s="359">
        <v>724063.62</v>
      </c>
      <c r="G12" s="359">
        <v>746972.23</v>
      </c>
      <c r="H12" s="359">
        <v>0</v>
      </c>
      <c r="I12" s="359">
        <v>0</v>
      </c>
      <c r="J12" s="359">
        <v>0</v>
      </c>
      <c r="K12" s="411" t="s">
        <v>23</v>
      </c>
      <c r="L12" s="85"/>
    </row>
    <row r="13" s="1" customFormat="1" ht="15.75" spans="1:12">
      <c r="A13" s="355"/>
      <c r="B13" s="357"/>
      <c r="C13" s="357"/>
      <c r="D13" s="357"/>
      <c r="E13" s="353">
        <f t="shared" ref="E13:E21" si="6">SUM(F13:J13)</f>
        <v>0</v>
      </c>
      <c r="F13" s="361">
        <v>0</v>
      </c>
      <c r="G13" s="361">
        <v>0</v>
      </c>
      <c r="H13" s="361">
        <v>0</v>
      </c>
      <c r="I13" s="361">
        <v>0</v>
      </c>
      <c r="J13" s="361">
        <v>0</v>
      </c>
      <c r="K13" s="412" t="s">
        <v>24</v>
      </c>
      <c r="L13" s="85"/>
    </row>
    <row r="14" s="1" customFormat="1" ht="15.75" spans="1:12">
      <c r="A14" s="355"/>
      <c r="B14" s="357"/>
      <c r="C14" s="357"/>
      <c r="D14" s="357"/>
      <c r="E14" s="353">
        <f t="shared" si="6"/>
        <v>369606.99</v>
      </c>
      <c r="F14" s="359">
        <v>181925.53</v>
      </c>
      <c r="G14" s="359">
        <v>187681.46</v>
      </c>
      <c r="H14" s="359">
        <v>0</v>
      </c>
      <c r="I14" s="359">
        <v>0</v>
      </c>
      <c r="J14" s="359">
        <v>0</v>
      </c>
      <c r="K14" s="411" t="s">
        <v>26</v>
      </c>
      <c r="L14" s="85"/>
    </row>
    <row r="15" s="1" customFormat="1" ht="15.75" spans="1:12">
      <c r="A15" s="355"/>
      <c r="B15" s="357"/>
      <c r="C15" s="357"/>
      <c r="D15" s="357"/>
      <c r="E15" s="353">
        <f t="shared" si="6"/>
        <v>0</v>
      </c>
      <c r="F15" s="359">
        <v>0</v>
      </c>
      <c r="G15" s="359">
        <v>0</v>
      </c>
      <c r="H15" s="359">
        <v>0</v>
      </c>
      <c r="I15" s="359">
        <v>0</v>
      </c>
      <c r="J15" s="359">
        <v>0</v>
      </c>
      <c r="K15" s="411" t="s">
        <v>45</v>
      </c>
      <c r="L15" s="85"/>
    </row>
    <row r="16" s="1" customFormat="1" ht="16.5" spans="1:12">
      <c r="A16" s="362"/>
      <c r="B16" s="363"/>
      <c r="C16" s="357"/>
      <c r="D16" s="357"/>
      <c r="E16" s="353">
        <f t="shared" si="6"/>
        <v>269532.53</v>
      </c>
      <c r="F16" s="361">
        <v>0</v>
      </c>
      <c r="G16" s="361">
        <v>269532.53</v>
      </c>
      <c r="H16" s="361">
        <v>0</v>
      </c>
      <c r="I16" s="361">
        <v>0</v>
      </c>
      <c r="J16" s="361">
        <v>0</v>
      </c>
      <c r="K16" s="412" t="s">
        <v>29</v>
      </c>
      <c r="L16" s="85"/>
    </row>
    <row r="17" s="1" customFormat="1" ht="15.75" spans="1:12">
      <c r="A17" s="350" t="s">
        <v>91</v>
      </c>
      <c r="B17" s="356" t="s">
        <v>92</v>
      </c>
      <c r="C17" s="357"/>
      <c r="D17" s="357"/>
      <c r="E17" s="353">
        <f t="shared" si="6"/>
        <v>128178970</v>
      </c>
      <c r="F17" s="361">
        <f>F18+F19+F20+F21</f>
        <v>128178970</v>
      </c>
      <c r="G17" s="361">
        <f>G18+G19+G20+G21</f>
        <v>0</v>
      </c>
      <c r="H17" s="361">
        <f t="shared" ref="H17:J17" si="7">H18+H19+H20+H21</f>
        <v>0</v>
      </c>
      <c r="I17" s="361">
        <f t="shared" si="7"/>
        <v>0</v>
      </c>
      <c r="J17" s="361">
        <f t="shared" si="7"/>
        <v>0</v>
      </c>
      <c r="K17" s="412" t="s">
        <v>13</v>
      </c>
      <c r="L17" s="85"/>
    </row>
    <row r="18" s="1" customFormat="1" ht="15.75" spans="1:12">
      <c r="A18" s="355"/>
      <c r="B18" s="357"/>
      <c r="C18" s="357"/>
      <c r="D18" s="357"/>
      <c r="E18" s="353">
        <f t="shared" si="6"/>
        <v>63133615.4</v>
      </c>
      <c r="F18" s="358">
        <f>106000000-37799322.82-5067061.78</f>
        <v>63133615.4</v>
      </c>
      <c r="G18" s="358">
        <v>0</v>
      </c>
      <c r="H18" s="358">
        <v>0</v>
      </c>
      <c r="I18" s="358">
        <v>0</v>
      </c>
      <c r="J18" s="358">
        <v>0</v>
      </c>
      <c r="K18" s="411" t="s">
        <v>95</v>
      </c>
      <c r="L18" s="85"/>
    </row>
    <row r="19" s="1" customFormat="1" ht="15.75" spans="1:12">
      <c r="A19" s="355"/>
      <c r="B19" s="357"/>
      <c r="C19" s="357"/>
      <c r="D19" s="357"/>
      <c r="E19" s="353">
        <f t="shared" si="6"/>
        <v>42866384.6</v>
      </c>
      <c r="F19" s="358">
        <f>37799322.82+5067061.78</f>
        <v>42866384.6</v>
      </c>
      <c r="G19" s="358">
        <v>0</v>
      </c>
      <c r="H19" s="358">
        <v>0</v>
      </c>
      <c r="I19" s="358">
        <v>0</v>
      </c>
      <c r="J19" s="358">
        <v>0</v>
      </c>
      <c r="K19" s="411" t="s">
        <v>117</v>
      </c>
      <c r="L19" s="85"/>
    </row>
    <row r="20" s="1" customFormat="1" ht="19.5" customHeight="1" spans="1:12">
      <c r="A20" s="355"/>
      <c r="B20" s="364"/>
      <c r="C20" s="357"/>
      <c r="D20" s="357"/>
      <c r="E20" s="353">
        <f t="shared" si="6"/>
        <v>20756112.89</v>
      </c>
      <c r="F20" s="358">
        <f>(22776970-598000)-1422857.11</f>
        <v>20756112.89</v>
      </c>
      <c r="G20" s="358">
        <v>0</v>
      </c>
      <c r="H20" s="358">
        <v>0</v>
      </c>
      <c r="I20" s="358">
        <v>0</v>
      </c>
      <c r="J20" s="358">
        <v>0</v>
      </c>
      <c r="K20" s="411" t="s">
        <v>96</v>
      </c>
      <c r="L20" s="85"/>
    </row>
    <row r="21" s="1" customFormat="1" ht="16.5" customHeight="1" spans="1:12">
      <c r="A21" s="365"/>
      <c r="B21" s="366"/>
      <c r="C21" s="357"/>
      <c r="D21" s="357"/>
      <c r="E21" s="353">
        <f t="shared" si="6"/>
        <v>1422857.11</v>
      </c>
      <c r="F21" s="358">
        <v>1422857.11</v>
      </c>
      <c r="G21" s="358">
        <v>0</v>
      </c>
      <c r="H21" s="358">
        <v>0</v>
      </c>
      <c r="I21" s="358">
        <v>0</v>
      </c>
      <c r="J21" s="358">
        <v>0</v>
      </c>
      <c r="K21" s="411" t="s">
        <v>118</v>
      </c>
      <c r="L21" s="85"/>
    </row>
    <row r="22" ht="18.75" spans="1:11">
      <c r="A22" s="315" t="s">
        <v>36</v>
      </c>
      <c r="B22" s="367" t="s">
        <v>37</v>
      </c>
      <c r="C22" s="367"/>
      <c r="D22" s="367"/>
      <c r="E22" s="367"/>
      <c r="F22" s="367"/>
      <c r="G22" s="367"/>
      <c r="H22" s="367"/>
      <c r="I22" s="367"/>
      <c r="J22" s="367"/>
      <c r="K22" s="367"/>
    </row>
    <row r="23" ht="18.75" spans="1:12">
      <c r="A23" s="368" t="s">
        <v>38</v>
      </c>
      <c r="B23" s="369" t="s">
        <v>80</v>
      </c>
      <c r="C23" s="370"/>
      <c r="D23" s="370"/>
      <c r="E23" s="371">
        <f t="shared" ref="E23:E53" si="8">F23+G23+H23+I23+J23</f>
        <v>401187347.84</v>
      </c>
      <c r="F23" s="371">
        <f>F24+F25+F26+F27</f>
        <v>138310399.39</v>
      </c>
      <c r="G23" s="371">
        <f t="shared" ref="G23:J23" si="9">G24+G25+G26+G27</f>
        <v>102938870.69</v>
      </c>
      <c r="H23" s="371">
        <f t="shared" si="9"/>
        <v>79969038.88</v>
      </c>
      <c r="I23" s="371">
        <f t="shared" si="9"/>
        <v>79969038.88</v>
      </c>
      <c r="J23" s="371">
        <f t="shared" si="9"/>
        <v>0</v>
      </c>
      <c r="K23" s="413" t="s">
        <v>10</v>
      </c>
      <c r="L23" s="371">
        <f>L24+L25+L26+L27</f>
        <v>17057864.85</v>
      </c>
    </row>
    <row r="24" spans="1:12">
      <c r="A24" s="372"/>
      <c r="B24" s="373"/>
      <c r="C24" s="370"/>
      <c r="D24" s="370"/>
      <c r="E24" s="371">
        <f t="shared" si="8"/>
        <v>105382544.87</v>
      </c>
      <c r="F24" s="371">
        <f>F36+F39</f>
        <v>84818282.07</v>
      </c>
      <c r="G24" s="371">
        <f>G36+G39</f>
        <v>20564262.8</v>
      </c>
      <c r="H24" s="371">
        <f t="shared" ref="H24:I24" si="10">H36+H39</f>
        <v>0</v>
      </c>
      <c r="I24" s="371">
        <f t="shared" si="10"/>
        <v>0</v>
      </c>
      <c r="J24" s="371">
        <f>J36</f>
        <v>0</v>
      </c>
      <c r="K24" s="371" t="s">
        <v>14</v>
      </c>
      <c r="L24" s="371">
        <f>L36</f>
        <v>0</v>
      </c>
    </row>
    <row r="25" spans="1:12">
      <c r="A25" s="372"/>
      <c r="B25" s="373"/>
      <c r="C25" s="374"/>
      <c r="D25" s="374"/>
      <c r="E25" s="371">
        <f t="shared" si="8"/>
        <v>265287582.34</v>
      </c>
      <c r="F25" s="371">
        <f>F29+F40</f>
        <v>32086740.83</v>
      </c>
      <c r="G25" s="371">
        <f>G29+G40</f>
        <v>78013399.73</v>
      </c>
      <c r="H25" s="371">
        <f t="shared" ref="H25:I25" si="11">H29+H40</f>
        <v>77593720.89</v>
      </c>
      <c r="I25" s="371">
        <f t="shared" si="11"/>
        <v>77593720.89</v>
      </c>
      <c r="J25" s="371">
        <f>J29</f>
        <v>0</v>
      </c>
      <c r="K25" s="261" t="s">
        <v>15</v>
      </c>
      <c r="L25" s="371">
        <f>L29</f>
        <v>0</v>
      </c>
    </row>
    <row r="26" spans="1:14">
      <c r="A26" s="372"/>
      <c r="B26" s="373"/>
      <c r="C26" s="374"/>
      <c r="D26" s="374"/>
      <c r="E26" s="371">
        <f t="shared" si="8"/>
        <v>9211524.55</v>
      </c>
      <c r="F26" s="371">
        <f>F30+F37+F41</f>
        <v>1849123.76</v>
      </c>
      <c r="G26" s="371">
        <f>G30+G37+G41</f>
        <v>2611764.81</v>
      </c>
      <c r="H26" s="371">
        <f t="shared" ref="H26:I26" si="12">H30+H37+H41</f>
        <v>2375317.99</v>
      </c>
      <c r="I26" s="371">
        <f t="shared" si="12"/>
        <v>2375317.99</v>
      </c>
      <c r="J26" s="371">
        <f>J30+J37</f>
        <v>0</v>
      </c>
      <c r="K26" s="261" t="s">
        <v>16</v>
      </c>
      <c r="L26" s="371">
        <f>L30+L37</f>
        <v>0</v>
      </c>
      <c r="M26" s="94"/>
      <c r="N26" s="94"/>
    </row>
    <row r="27" spans="1:14">
      <c r="A27" s="375"/>
      <c r="B27" s="376"/>
      <c r="C27" s="374"/>
      <c r="D27" s="374"/>
      <c r="E27" s="371">
        <f t="shared" si="8"/>
        <v>21305696.08</v>
      </c>
      <c r="F27" s="371">
        <f>F42</f>
        <v>19556252.73</v>
      </c>
      <c r="G27" s="371">
        <f t="shared" ref="G27:J27" si="13">G42</f>
        <v>1749443.35</v>
      </c>
      <c r="H27" s="371">
        <f t="shared" si="13"/>
        <v>0</v>
      </c>
      <c r="I27" s="371">
        <f t="shared" si="13"/>
        <v>0</v>
      </c>
      <c r="J27" s="371">
        <f t="shared" si="13"/>
        <v>0</v>
      </c>
      <c r="K27" s="371" t="s">
        <v>17</v>
      </c>
      <c r="L27" s="371">
        <f>L42</f>
        <v>17057864.85</v>
      </c>
      <c r="M27" s="94"/>
      <c r="N27" s="94"/>
    </row>
    <row r="28" ht="15.75" spans="1:14">
      <c r="A28" s="377" t="s">
        <v>40</v>
      </c>
      <c r="B28" s="374" t="s">
        <v>81</v>
      </c>
      <c r="C28" s="378"/>
      <c r="D28" s="378"/>
      <c r="E28" s="371">
        <f t="shared" si="8"/>
        <v>273010718.71</v>
      </c>
      <c r="F28" s="379">
        <f>SUM(F29:F30)</f>
        <v>33079114.26</v>
      </c>
      <c r="G28" s="379">
        <f t="shared" ref="G28:J28" si="14">SUM(G29:G30)</f>
        <v>79993526.69</v>
      </c>
      <c r="H28" s="379">
        <f t="shared" si="14"/>
        <v>79969038.88</v>
      </c>
      <c r="I28" s="379">
        <f t="shared" si="14"/>
        <v>79969038.88</v>
      </c>
      <c r="J28" s="379">
        <f t="shared" si="14"/>
        <v>0</v>
      </c>
      <c r="K28" s="414" t="s">
        <v>10</v>
      </c>
      <c r="M28" s="94"/>
      <c r="N28" s="94"/>
    </row>
    <row r="29" ht="15.75" spans="1:11">
      <c r="A29" s="380"/>
      <c r="B29" s="374"/>
      <c r="C29" s="378"/>
      <c r="D29" s="378"/>
      <c r="E29" s="371">
        <f t="shared" si="8"/>
        <v>264867903.5</v>
      </c>
      <c r="F29" s="381">
        <f>F31+F32</f>
        <v>32086740.83</v>
      </c>
      <c r="G29" s="381">
        <f>G31+G32</f>
        <v>77593720.89</v>
      </c>
      <c r="H29" s="381">
        <f>H31+H32</f>
        <v>77593720.89</v>
      </c>
      <c r="I29" s="381">
        <f>I31+I32</f>
        <v>77593720.89</v>
      </c>
      <c r="J29" s="381">
        <f>J31+J32</f>
        <v>0</v>
      </c>
      <c r="K29" s="414" t="s">
        <v>15</v>
      </c>
    </row>
    <row r="30" ht="15.75" spans="1:11">
      <c r="A30" s="380"/>
      <c r="B30" s="374"/>
      <c r="C30" s="378"/>
      <c r="D30" s="378"/>
      <c r="E30" s="371">
        <f t="shared" si="8"/>
        <v>8142815.21</v>
      </c>
      <c r="F30" s="381">
        <f>F33+F34</f>
        <v>992373.43</v>
      </c>
      <c r="G30" s="381">
        <f>G33+G34</f>
        <v>2399805.8</v>
      </c>
      <c r="H30" s="381">
        <f>H33+H34</f>
        <v>2375317.99</v>
      </c>
      <c r="I30" s="381">
        <f>I33+I34</f>
        <v>2375317.99</v>
      </c>
      <c r="J30" s="381">
        <f>J33+J34</f>
        <v>0</v>
      </c>
      <c r="K30" s="414" t="s">
        <v>16</v>
      </c>
    </row>
    <row r="31" ht="15.75" spans="1:11">
      <c r="A31" s="377" t="s">
        <v>42</v>
      </c>
      <c r="B31" s="374" t="s">
        <v>43</v>
      </c>
      <c r="C31" s="27"/>
      <c r="D31" s="27"/>
      <c r="E31" s="371">
        <f t="shared" si="8"/>
        <v>255968962.2</v>
      </c>
      <c r="F31" s="28">
        <f>26400000-3212200.47</f>
        <v>23187799.53</v>
      </c>
      <c r="G31" s="28">
        <v>77593720.89</v>
      </c>
      <c r="H31" s="28">
        <v>77593720.89</v>
      </c>
      <c r="I31" s="28">
        <v>77593720.89</v>
      </c>
      <c r="J31" s="28">
        <v>0</v>
      </c>
      <c r="K31" s="64" t="s">
        <v>23</v>
      </c>
    </row>
    <row r="32" ht="15.75" spans="1:11">
      <c r="A32" s="380"/>
      <c r="B32" s="374"/>
      <c r="C32" s="27"/>
      <c r="D32" s="27"/>
      <c r="E32" s="371">
        <f t="shared" si="8"/>
        <v>8898941.3</v>
      </c>
      <c r="F32" s="28">
        <f>5686740.83+3212200.47</f>
        <v>8898941.3</v>
      </c>
      <c r="G32" s="28">
        <v>0</v>
      </c>
      <c r="H32" s="28">
        <v>0</v>
      </c>
      <c r="I32" s="28">
        <v>0</v>
      </c>
      <c r="J32" s="28">
        <v>0</v>
      </c>
      <c r="K32" s="64" t="s">
        <v>24</v>
      </c>
    </row>
    <row r="33" ht="15.75" spans="1:11">
      <c r="A33" s="380"/>
      <c r="B33" s="374"/>
      <c r="C33" s="27"/>
      <c r="D33" s="27"/>
      <c r="E33" s="371">
        <f t="shared" si="8"/>
        <v>7867590.22</v>
      </c>
      <c r="F33" s="28">
        <f>816494.85-99346.41</f>
        <v>717148.44</v>
      </c>
      <c r="G33" s="28">
        <v>2399805.8</v>
      </c>
      <c r="H33" s="28">
        <v>2375317.99</v>
      </c>
      <c r="I33" s="28">
        <v>2375317.99</v>
      </c>
      <c r="J33" s="28">
        <v>0</v>
      </c>
      <c r="K33" s="64" t="s">
        <v>44</v>
      </c>
    </row>
    <row r="34" ht="15.75" spans="1:11">
      <c r="A34" s="380"/>
      <c r="B34" s="374"/>
      <c r="C34" s="27"/>
      <c r="D34" s="27"/>
      <c r="E34" s="371">
        <f t="shared" si="8"/>
        <v>275224.99</v>
      </c>
      <c r="F34" s="28">
        <f>175878.58+99346.41</f>
        <v>275224.99</v>
      </c>
      <c r="G34" s="28">
        <v>0</v>
      </c>
      <c r="H34" s="28">
        <v>0</v>
      </c>
      <c r="I34" s="28">
        <v>0</v>
      </c>
      <c r="J34" s="28">
        <v>0</v>
      </c>
      <c r="K34" s="64" t="s">
        <v>45</v>
      </c>
    </row>
    <row r="35" ht="15.75" spans="1:11">
      <c r="A35" s="377" t="s">
        <v>48</v>
      </c>
      <c r="B35" s="382" t="s">
        <v>82</v>
      </c>
      <c r="C35" s="383"/>
      <c r="D35" s="383"/>
      <c r="E35" s="371">
        <f t="shared" si="8"/>
        <v>85675032.4</v>
      </c>
      <c r="F35" s="384">
        <f>SUM(F36:F37)</f>
        <v>85675032.4</v>
      </c>
      <c r="G35" s="384">
        <f t="shared" ref="G35:J35" si="15">SUM(G36:G37)</f>
        <v>0</v>
      </c>
      <c r="H35" s="384">
        <f t="shared" si="15"/>
        <v>0</v>
      </c>
      <c r="I35" s="384">
        <f t="shared" si="15"/>
        <v>0</v>
      </c>
      <c r="J35" s="384">
        <f t="shared" si="15"/>
        <v>0</v>
      </c>
      <c r="K35" s="415" t="s">
        <v>50</v>
      </c>
    </row>
    <row r="36" ht="15.75" spans="1:11">
      <c r="A36" s="380"/>
      <c r="B36" s="385"/>
      <c r="C36" s="383"/>
      <c r="D36" s="383"/>
      <c r="E36" s="371">
        <f t="shared" si="8"/>
        <v>84818282.07</v>
      </c>
      <c r="F36" s="386">
        <v>84818282.07</v>
      </c>
      <c r="G36" s="386">
        <v>0</v>
      </c>
      <c r="H36" s="386">
        <v>0</v>
      </c>
      <c r="I36" s="386">
        <v>0</v>
      </c>
      <c r="J36" s="386">
        <v>0</v>
      </c>
      <c r="K36" s="415" t="s">
        <v>20</v>
      </c>
    </row>
    <row r="37" ht="30.75" customHeight="1" spans="1:11">
      <c r="A37" s="380"/>
      <c r="B37" s="385"/>
      <c r="C37" s="383"/>
      <c r="D37" s="383"/>
      <c r="E37" s="371">
        <f t="shared" si="8"/>
        <v>856750.33</v>
      </c>
      <c r="F37" s="386">
        <v>856750.33</v>
      </c>
      <c r="G37" s="386">
        <v>0</v>
      </c>
      <c r="H37" s="386">
        <v>0</v>
      </c>
      <c r="I37" s="386">
        <v>0</v>
      </c>
      <c r="J37" s="386">
        <v>0</v>
      </c>
      <c r="K37" s="415" t="s">
        <v>44</v>
      </c>
    </row>
    <row r="38" ht="15.75" spans="1:11">
      <c r="A38" s="377" t="s">
        <v>83</v>
      </c>
      <c r="B38" s="382" t="s">
        <v>127</v>
      </c>
      <c r="C38" s="383"/>
      <c r="D38" s="383"/>
      <c r="E38" s="371">
        <f t="shared" si="8"/>
        <v>21195900.65</v>
      </c>
      <c r="F38" s="384">
        <f>SUM(F39:F41)</f>
        <v>0</v>
      </c>
      <c r="G38" s="384">
        <f t="shared" ref="G38:J38" si="16">SUM(G39:G41)</f>
        <v>21195900.65</v>
      </c>
      <c r="H38" s="384">
        <f t="shared" si="16"/>
        <v>0</v>
      </c>
      <c r="I38" s="384">
        <f t="shared" si="16"/>
        <v>0</v>
      </c>
      <c r="J38" s="384">
        <f t="shared" si="16"/>
        <v>0</v>
      </c>
      <c r="K38" s="415" t="s">
        <v>50</v>
      </c>
    </row>
    <row r="39" ht="15.75" spans="1:11">
      <c r="A39" s="380"/>
      <c r="B39" s="385"/>
      <c r="C39" s="383"/>
      <c r="D39" s="383"/>
      <c r="E39" s="371">
        <f t="shared" si="8"/>
        <v>20564262.8</v>
      </c>
      <c r="F39" s="386">
        <v>0</v>
      </c>
      <c r="G39" s="386">
        <v>20564262.8</v>
      </c>
      <c r="H39" s="386">
        <v>0</v>
      </c>
      <c r="I39" s="386">
        <v>0</v>
      </c>
      <c r="J39" s="386">
        <v>0</v>
      </c>
      <c r="K39" s="415" t="s">
        <v>20</v>
      </c>
    </row>
    <row r="40" ht="15.75" spans="1:11">
      <c r="A40" s="380"/>
      <c r="B40" s="385"/>
      <c r="C40" s="383"/>
      <c r="D40" s="383"/>
      <c r="E40" s="371">
        <f t="shared" si="8"/>
        <v>419678.84</v>
      </c>
      <c r="F40" s="386">
        <v>0</v>
      </c>
      <c r="G40" s="386">
        <v>419678.84</v>
      </c>
      <c r="H40" s="386">
        <v>0</v>
      </c>
      <c r="I40" s="386">
        <v>0</v>
      </c>
      <c r="J40" s="386">
        <v>0</v>
      </c>
      <c r="K40" s="415" t="s">
        <v>23</v>
      </c>
    </row>
    <row r="41" ht="36.75" customHeight="1" spans="1:11">
      <c r="A41" s="380"/>
      <c r="B41" s="385"/>
      <c r="C41" s="383"/>
      <c r="D41" s="383"/>
      <c r="E41" s="371">
        <f t="shared" si="8"/>
        <v>211959.01</v>
      </c>
      <c r="F41" s="386">
        <v>0</v>
      </c>
      <c r="G41" s="386">
        <v>211959.01</v>
      </c>
      <c r="H41" s="386">
        <v>0</v>
      </c>
      <c r="I41" s="386">
        <v>0</v>
      </c>
      <c r="J41" s="386">
        <v>0</v>
      </c>
      <c r="K41" s="415" t="s">
        <v>44</v>
      </c>
    </row>
    <row r="42" s="1" customFormat="1" ht="15.75" spans="1:12">
      <c r="A42" s="377" t="s">
        <v>128</v>
      </c>
      <c r="B42" s="382" t="s">
        <v>129</v>
      </c>
      <c r="C42" s="357"/>
      <c r="D42" s="357"/>
      <c r="E42" s="371">
        <f t="shared" si="8"/>
        <v>21305696.08</v>
      </c>
      <c r="F42" s="386">
        <f>F44+F43+F45</f>
        <v>19556252.73</v>
      </c>
      <c r="G42" s="386">
        <f>G44+G43</f>
        <v>1749443.35</v>
      </c>
      <c r="H42" s="386">
        <f>H44+H43</f>
        <v>0</v>
      </c>
      <c r="I42" s="386">
        <f>I44+I43</f>
        <v>0</v>
      </c>
      <c r="J42" s="386">
        <f>J44+J43</f>
        <v>0</v>
      </c>
      <c r="K42" s="416" t="s">
        <v>13</v>
      </c>
      <c r="L42" s="417">
        <f>L44+L43+L45</f>
        <v>17057864.85</v>
      </c>
    </row>
    <row r="43" s="1" customFormat="1" ht="15.75" spans="1:12">
      <c r="A43" s="380"/>
      <c r="B43" s="385"/>
      <c r="C43" s="357"/>
      <c r="D43" s="357"/>
      <c r="E43" s="371">
        <f t="shared" si="8"/>
        <v>16107696.08</v>
      </c>
      <c r="F43" s="386">
        <f>1800387.88+L43</f>
        <v>14358252.73</v>
      </c>
      <c r="G43" s="386">
        <v>1749443.35</v>
      </c>
      <c r="H43" s="386">
        <v>0</v>
      </c>
      <c r="I43" s="386">
        <v>0</v>
      </c>
      <c r="J43" s="386">
        <v>0</v>
      </c>
      <c r="K43" s="415" t="s">
        <v>29</v>
      </c>
      <c r="L43" s="85">
        <f>5500000+6500000+23484.85+75710.7+133771.91+324897.39</f>
        <v>12557864.85</v>
      </c>
    </row>
    <row r="44" s="1" customFormat="1" ht="15.75" spans="1:12">
      <c r="A44" s="380"/>
      <c r="B44" s="385"/>
      <c r="C44" s="357"/>
      <c r="D44" s="357"/>
      <c r="E44" s="371">
        <f t="shared" si="8"/>
        <v>4600000</v>
      </c>
      <c r="F44" s="386">
        <f>100000+L44</f>
        <v>4600000</v>
      </c>
      <c r="G44" s="386">
        <v>0</v>
      </c>
      <c r="H44" s="386">
        <v>0</v>
      </c>
      <c r="I44" s="386">
        <v>0</v>
      </c>
      <c r="J44" s="386">
        <v>0</v>
      </c>
      <c r="K44" s="415" t="s">
        <v>30</v>
      </c>
      <c r="L44" s="85">
        <v>4500000</v>
      </c>
    </row>
    <row r="45" s="1" customFormat="1" ht="15.75" spans="1:12">
      <c r="A45" s="380"/>
      <c r="B45" s="385"/>
      <c r="C45" s="357"/>
      <c r="D45" s="357"/>
      <c r="E45" s="371">
        <f t="shared" si="8"/>
        <v>598000</v>
      </c>
      <c r="F45" s="386">
        <v>598000</v>
      </c>
      <c r="G45" s="386">
        <v>0</v>
      </c>
      <c r="H45" s="386">
        <v>0</v>
      </c>
      <c r="I45" s="386">
        <v>0</v>
      </c>
      <c r="J45" s="386">
        <v>0</v>
      </c>
      <c r="K45" s="415" t="s">
        <v>101</v>
      </c>
      <c r="L45" s="85"/>
    </row>
    <row r="46" ht="18.75" spans="1:11">
      <c r="A46" s="315" t="s">
        <v>55</v>
      </c>
      <c r="B46" s="367" t="s">
        <v>56</v>
      </c>
      <c r="C46" s="367"/>
      <c r="D46" s="367"/>
      <c r="E46" s="367"/>
      <c r="F46" s="367"/>
      <c r="G46" s="367"/>
      <c r="H46" s="367"/>
      <c r="I46" s="367"/>
      <c r="J46" s="367"/>
      <c r="K46" s="367"/>
    </row>
    <row r="47" ht="15.75" spans="1:12">
      <c r="A47" s="387" t="s">
        <v>57</v>
      </c>
      <c r="B47" s="388" t="s">
        <v>85</v>
      </c>
      <c r="C47" s="389"/>
      <c r="D47" s="389"/>
      <c r="E47" s="390">
        <f t="shared" si="8"/>
        <v>20858938.63</v>
      </c>
      <c r="F47" s="391">
        <f>F48+F49</f>
        <v>8737726.51</v>
      </c>
      <c r="G47" s="391">
        <f t="shared" ref="G47:J47" si="17">G48+G49</f>
        <v>12121212.12</v>
      </c>
      <c r="H47" s="391">
        <f t="shared" si="17"/>
        <v>0</v>
      </c>
      <c r="I47" s="391">
        <f t="shared" si="17"/>
        <v>0</v>
      </c>
      <c r="J47" s="391">
        <f t="shared" si="17"/>
        <v>0</v>
      </c>
      <c r="K47" s="418" t="s">
        <v>10</v>
      </c>
      <c r="L47" s="419">
        <f>L48+L49</f>
        <v>-2348485.33</v>
      </c>
    </row>
    <row r="48" ht="15.75" spans="1:12">
      <c r="A48" s="392"/>
      <c r="B48" s="388"/>
      <c r="C48" s="389"/>
      <c r="D48" s="389"/>
      <c r="E48" s="390">
        <f t="shared" si="8"/>
        <v>20639999.24</v>
      </c>
      <c r="F48" s="391">
        <f>F50+F51</f>
        <v>8639999.24</v>
      </c>
      <c r="G48" s="391">
        <f t="shared" ref="G48:J48" si="18">G50+G51</f>
        <v>12000000</v>
      </c>
      <c r="H48" s="391">
        <f t="shared" si="18"/>
        <v>0</v>
      </c>
      <c r="I48" s="391">
        <f t="shared" si="18"/>
        <v>0</v>
      </c>
      <c r="J48" s="391">
        <f t="shared" si="18"/>
        <v>0</v>
      </c>
      <c r="K48" s="418" t="s">
        <v>15</v>
      </c>
      <c r="L48" s="419">
        <f>L50+L51</f>
        <v>-2325000.48</v>
      </c>
    </row>
    <row r="49" ht="15.75" spans="1:12">
      <c r="A49" s="392"/>
      <c r="B49" s="388"/>
      <c r="C49" s="389"/>
      <c r="D49" s="389"/>
      <c r="E49" s="390">
        <f t="shared" si="8"/>
        <v>218939.39</v>
      </c>
      <c r="F49" s="391">
        <f>F52+F53</f>
        <v>97727.27</v>
      </c>
      <c r="G49" s="391">
        <f t="shared" ref="G49:J49" si="19">G52+G53</f>
        <v>121212.12</v>
      </c>
      <c r="H49" s="391">
        <f t="shared" si="19"/>
        <v>0</v>
      </c>
      <c r="I49" s="391">
        <f t="shared" si="19"/>
        <v>0</v>
      </c>
      <c r="J49" s="391">
        <f t="shared" si="19"/>
        <v>0</v>
      </c>
      <c r="K49" s="418" t="s">
        <v>16</v>
      </c>
      <c r="L49" s="419">
        <f>L52+L53</f>
        <v>-23484.85</v>
      </c>
    </row>
    <row r="50" ht="15.75" spans="1:12">
      <c r="A50" s="393" t="s">
        <v>59</v>
      </c>
      <c r="B50" s="394" t="s">
        <v>86</v>
      </c>
      <c r="C50" s="27"/>
      <c r="D50" s="27"/>
      <c r="E50" s="390">
        <f t="shared" si="8"/>
        <v>20639999.24</v>
      </c>
      <c r="F50" s="28">
        <f>9674999.52-1035000.28</f>
        <v>8639999.24</v>
      </c>
      <c r="G50" s="28">
        <v>12000000</v>
      </c>
      <c r="H50" s="28">
        <v>0</v>
      </c>
      <c r="I50" s="28">
        <v>0</v>
      </c>
      <c r="J50" s="28">
        <v>0</v>
      </c>
      <c r="K50" s="411" t="s">
        <v>65</v>
      </c>
      <c r="L50" s="2">
        <v>-2325000.48</v>
      </c>
    </row>
    <row r="51" ht="15.75" spans="1:11">
      <c r="A51" s="393"/>
      <c r="B51" s="394"/>
      <c r="C51" s="27"/>
      <c r="D51" s="27"/>
      <c r="E51" s="390">
        <f t="shared" si="8"/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412" t="s">
        <v>67</v>
      </c>
    </row>
    <row r="52" ht="15.75" spans="1:12">
      <c r="A52" s="393"/>
      <c r="B52" s="394"/>
      <c r="C52" s="27"/>
      <c r="D52" s="27"/>
      <c r="E52" s="390">
        <f t="shared" si="8"/>
        <v>218939.39</v>
      </c>
      <c r="F52" s="28">
        <v>97727.27</v>
      </c>
      <c r="G52" s="28">
        <v>121212.12</v>
      </c>
      <c r="H52" s="28">
        <v>0</v>
      </c>
      <c r="I52" s="28">
        <v>0</v>
      </c>
      <c r="J52" s="28">
        <v>0</v>
      </c>
      <c r="K52" s="411" t="s">
        <v>44</v>
      </c>
      <c r="L52" s="2">
        <v>-23484.85</v>
      </c>
    </row>
    <row r="53" ht="15.75" spans="1:11">
      <c r="A53" s="393"/>
      <c r="B53" s="395"/>
      <c r="C53" s="27"/>
      <c r="D53" s="27"/>
      <c r="E53" s="390">
        <f t="shared" si="8"/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412" t="s">
        <v>45</v>
      </c>
    </row>
    <row r="54" ht="16.5" customHeight="1" spans="1:12">
      <c r="A54" s="396" t="s">
        <v>70</v>
      </c>
      <c r="B54" s="397"/>
      <c r="C54" s="397"/>
      <c r="D54" s="398"/>
      <c r="E54" s="279">
        <f t="shared" ref="E54:E58" si="20">SUM(F54:J54)</f>
        <v>624416188.33</v>
      </c>
      <c r="F54" s="279">
        <f>F55+F56+F57+F58</f>
        <v>311612202.48</v>
      </c>
      <c r="G54" s="279">
        <f>G55+G56+G57+G58</f>
        <v>152865908.09</v>
      </c>
      <c r="H54" s="279">
        <f t="shared" ref="H54:J54" si="21">H55+H56+H57+H58</f>
        <v>79969038.88</v>
      </c>
      <c r="I54" s="279">
        <f t="shared" si="21"/>
        <v>79969038.88</v>
      </c>
      <c r="J54" s="279">
        <f t="shared" si="21"/>
        <v>0</v>
      </c>
      <c r="K54" s="340"/>
      <c r="L54" s="278">
        <f>L55+L56+L57+L58</f>
        <v>14709379.52</v>
      </c>
    </row>
    <row r="55" ht="18.75" spans="1:12">
      <c r="A55" s="399"/>
      <c r="B55" s="400"/>
      <c r="C55" s="400"/>
      <c r="D55" s="401"/>
      <c r="E55" s="279">
        <f t="shared" si="20"/>
        <v>283463301.36</v>
      </c>
      <c r="F55" s="280">
        <f>F5+F24</f>
        <v>226297399.5</v>
      </c>
      <c r="G55" s="280">
        <f>G5+G24</f>
        <v>57165901.86</v>
      </c>
      <c r="H55" s="280">
        <f>H5+H24</f>
        <v>0</v>
      </c>
      <c r="I55" s="280">
        <f>I5+I24</f>
        <v>0</v>
      </c>
      <c r="J55" s="280">
        <f>J5+J24</f>
        <v>0</v>
      </c>
      <c r="K55" s="420" t="s">
        <v>14</v>
      </c>
      <c r="L55" s="280">
        <f>L5+L24</f>
        <v>0</v>
      </c>
    </row>
    <row r="56" ht="18.75" spans="1:12">
      <c r="A56" s="399"/>
      <c r="B56" s="400"/>
      <c r="C56" s="400"/>
      <c r="D56" s="401"/>
      <c r="E56" s="279">
        <f t="shared" si="20"/>
        <v>287398617.43</v>
      </c>
      <c r="F56" s="280">
        <f t="shared" ref="F56:J57" si="22">F6+F25+F48</f>
        <v>41450803.69</v>
      </c>
      <c r="G56" s="280">
        <f t="shared" si="22"/>
        <v>90760371.96</v>
      </c>
      <c r="H56" s="280">
        <f t="shared" si="22"/>
        <v>77593720.89</v>
      </c>
      <c r="I56" s="280">
        <f t="shared" si="22"/>
        <v>77593720.89</v>
      </c>
      <c r="J56" s="280">
        <f t="shared" si="22"/>
        <v>0</v>
      </c>
      <c r="K56" s="420" t="s">
        <v>71</v>
      </c>
      <c r="L56" s="281">
        <f t="shared" ref="L56:L57" si="23">L6+L25+L48</f>
        <v>-2325000.48</v>
      </c>
    </row>
    <row r="57" ht="18.75" customHeight="1" spans="1:12">
      <c r="A57" s="399"/>
      <c r="B57" s="400"/>
      <c r="C57" s="400"/>
      <c r="D57" s="401"/>
      <c r="E57" s="279">
        <f t="shared" si="20"/>
        <v>9800070.93</v>
      </c>
      <c r="F57" s="280">
        <f t="shared" si="22"/>
        <v>2128776.56</v>
      </c>
      <c r="G57" s="280">
        <f t="shared" si="22"/>
        <v>2920658.39</v>
      </c>
      <c r="H57" s="280">
        <f t="shared" si="22"/>
        <v>2375317.99</v>
      </c>
      <c r="I57" s="280">
        <f t="shared" si="22"/>
        <v>2375317.99</v>
      </c>
      <c r="J57" s="280">
        <f t="shared" si="22"/>
        <v>0</v>
      </c>
      <c r="K57" s="287" t="s">
        <v>16</v>
      </c>
      <c r="L57" s="281">
        <f t="shared" si="23"/>
        <v>-23484.85</v>
      </c>
    </row>
    <row r="58" ht="18.75" customHeight="1" spans="1:12">
      <c r="A58" s="402"/>
      <c r="B58" s="403"/>
      <c r="C58" s="403"/>
      <c r="D58" s="404"/>
      <c r="E58" s="279">
        <f t="shared" si="20"/>
        <v>43754198.61</v>
      </c>
      <c r="F58" s="282">
        <f>F27+F8</f>
        <v>41735222.73</v>
      </c>
      <c r="G58" s="282">
        <f>G27+G8</f>
        <v>2018975.88</v>
      </c>
      <c r="H58" s="282">
        <f t="shared" ref="H58:J58" si="24">H27</f>
        <v>0</v>
      </c>
      <c r="I58" s="282">
        <f t="shared" si="24"/>
        <v>0</v>
      </c>
      <c r="J58" s="282">
        <f t="shared" si="24"/>
        <v>0</v>
      </c>
      <c r="K58" s="287" t="s">
        <v>73</v>
      </c>
      <c r="L58" s="283">
        <f>L27+L8</f>
        <v>17057864.85</v>
      </c>
    </row>
    <row r="59" ht="18.75" spans="1:11">
      <c r="A59" s="284" t="s">
        <v>130</v>
      </c>
      <c r="B59" s="284"/>
      <c r="C59" s="284"/>
      <c r="D59" s="284"/>
      <c r="E59" s="323"/>
      <c r="F59" s="323"/>
      <c r="G59" s="323"/>
      <c r="H59" s="323"/>
      <c r="I59" s="323"/>
      <c r="J59" s="323"/>
      <c r="K59" s="340"/>
    </row>
    <row r="60" ht="15.75" spans="1:11">
      <c r="A60" s="83"/>
      <c r="B60" s="84"/>
      <c r="C60" s="84"/>
      <c r="D60" s="84"/>
      <c r="E60" s="85">
        <f>E57+E58</f>
        <v>53554269.54</v>
      </c>
      <c r="F60" s="83"/>
      <c r="G60" s="83"/>
      <c r="H60" s="83"/>
      <c r="I60" s="83"/>
      <c r="J60" s="93"/>
      <c r="K60" s="93"/>
    </row>
    <row r="61" ht="15.75" spans="1:11">
      <c r="A61" s="83"/>
      <c r="B61" s="83"/>
      <c r="C61" s="83"/>
      <c r="D61" s="83"/>
      <c r="E61" s="83"/>
      <c r="F61" s="83"/>
      <c r="G61" s="83"/>
      <c r="H61" s="83"/>
      <c r="I61" s="83" t="s">
        <v>87</v>
      </c>
      <c r="J61" s="29"/>
      <c r="K61" s="29">
        <v>178063747.64</v>
      </c>
    </row>
    <row r="62" s="1" customFormat="1" ht="15.75" spans="1:12">
      <c r="A62" s="83"/>
      <c r="B62" s="83"/>
      <c r="C62" s="83"/>
      <c r="D62" s="83"/>
      <c r="E62" s="83"/>
      <c r="F62" s="83"/>
      <c r="G62" s="83"/>
      <c r="H62" s="83"/>
      <c r="I62" s="83" t="s">
        <v>88</v>
      </c>
      <c r="J62" s="29"/>
      <c r="K62" s="29">
        <v>506829756.46</v>
      </c>
      <c r="L62" s="85"/>
    </row>
    <row r="63" s="1" customFormat="1" ht="15.75" spans="1:12">
      <c r="A63" s="83"/>
      <c r="B63" s="83"/>
      <c r="C63" s="83"/>
      <c r="D63" s="83"/>
      <c r="E63" s="83"/>
      <c r="F63" s="83"/>
      <c r="G63" s="83"/>
      <c r="H63" s="83"/>
      <c r="I63" s="83" t="s">
        <v>123</v>
      </c>
      <c r="J63" s="29"/>
      <c r="K63" s="29">
        <f>F54+G54+H54</f>
        <v>544447149.45</v>
      </c>
      <c r="L63" s="85"/>
    </row>
    <row r="64" s="1" customFormat="1" ht="15.75" spans="1:12">
      <c r="A64" s="83"/>
      <c r="B64" s="83"/>
      <c r="C64" s="83"/>
      <c r="D64" s="83"/>
      <c r="E64" s="85">
        <f>L54</f>
        <v>14709379.52</v>
      </c>
      <c r="F64" s="83"/>
      <c r="G64" s="83"/>
      <c r="H64" s="83"/>
      <c r="I64" s="83" t="s">
        <v>124</v>
      </c>
      <c r="J64" s="29"/>
      <c r="K64" s="29">
        <f>I54+J54</f>
        <v>79969038.88</v>
      </c>
      <c r="L64" s="85"/>
    </row>
    <row r="65" ht="15.75" spans="9:11">
      <c r="I65" s="83"/>
      <c r="J65" s="29"/>
      <c r="K65" s="421">
        <f>K61+K62+K63+K64</f>
        <v>1309309692.43</v>
      </c>
    </row>
    <row r="78" s="2" customFormat="1" spans="1:14">
      <c r="A78" s="3"/>
      <c r="B78" s="3"/>
      <c r="C78" s="3"/>
      <c r="D78" s="3"/>
      <c r="E78" s="3"/>
      <c r="F78" s="3"/>
      <c r="G78" s="3"/>
      <c r="H78" s="3"/>
      <c r="I78" s="3"/>
      <c r="J78" s="3"/>
      <c r="K78" s="4" t="s">
        <v>125</v>
      </c>
      <c r="M78" s="8"/>
      <c r="N78" s="8"/>
    </row>
  </sheetData>
  <mergeCells count="25">
    <mergeCell ref="B22:K22"/>
    <mergeCell ref="B46:K46"/>
    <mergeCell ref="A59:D59"/>
    <mergeCell ref="A4:A7"/>
    <mergeCell ref="A9:A16"/>
    <mergeCell ref="A17:A20"/>
    <mergeCell ref="A23:A27"/>
    <mergeCell ref="A28:A30"/>
    <mergeCell ref="A31:A34"/>
    <mergeCell ref="A35:A37"/>
    <mergeCell ref="A38:A41"/>
    <mergeCell ref="A42:A45"/>
    <mergeCell ref="A47:A49"/>
    <mergeCell ref="A50:A53"/>
    <mergeCell ref="B4:B7"/>
    <mergeCell ref="B9:B16"/>
    <mergeCell ref="B17:B20"/>
    <mergeCell ref="B23:B27"/>
    <mergeCell ref="B28:B30"/>
    <mergeCell ref="B31:B34"/>
    <mergeCell ref="B35:B37"/>
    <mergeCell ref="B38:B41"/>
    <mergeCell ref="B42:B45"/>
    <mergeCell ref="B47:B49"/>
    <mergeCell ref="B50:B53"/>
  </mergeCells>
  <pageMargins left="0.118110236220472" right="0.118110236220472" top="0.15748031496063" bottom="0.15748031496063" header="0.31496062992126" footer="0.31496062992126"/>
  <pageSetup paperSize="9" scale="66" fitToHeight="0" orientation="portrait" blackAndWhite="1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9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7.1428571428571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hidden="1" customWidth="1"/>
    <col min="7" max="7" width="15.8571428571429" style="3" customWidth="1"/>
    <col min="8" max="9" width="14.2857142857143" style="3" customWidth="1"/>
    <col min="10" max="10" width="9.14285714285714" style="3" customWidth="1"/>
    <col min="11" max="11" width="17.2857142857143" style="4" customWidth="1"/>
    <col min="12" max="12" width="0.142857142857143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58.5" customHeight="1" spans="1:14">
      <c r="A1" s="344" t="s">
        <v>0</v>
      </c>
      <c r="B1" s="345" t="s">
        <v>1</v>
      </c>
      <c r="C1" s="345" t="s">
        <v>2</v>
      </c>
      <c r="D1" s="345" t="s">
        <v>3</v>
      </c>
      <c r="E1" s="345" t="s">
        <v>4</v>
      </c>
      <c r="F1" s="346">
        <v>2023</v>
      </c>
      <c r="G1" s="346">
        <v>2024</v>
      </c>
      <c r="H1" s="347">
        <v>2025</v>
      </c>
      <c r="I1" s="346">
        <v>2026</v>
      </c>
      <c r="J1" s="346">
        <v>2027</v>
      </c>
      <c r="K1" s="405" t="s">
        <v>131</v>
      </c>
      <c r="L1" s="406"/>
      <c r="M1" s="406"/>
      <c r="N1" s="406"/>
    </row>
    <row r="2" spans="1:11">
      <c r="A2" s="19">
        <v>1</v>
      </c>
      <c r="B2" s="19">
        <v>2</v>
      </c>
      <c r="C2" s="19">
        <v>3</v>
      </c>
      <c r="D2" s="19">
        <v>4</v>
      </c>
      <c r="E2" s="19">
        <v>5</v>
      </c>
      <c r="F2" s="19">
        <v>6</v>
      </c>
      <c r="G2" s="19">
        <v>7</v>
      </c>
      <c r="H2" s="19">
        <v>8</v>
      </c>
      <c r="I2" s="19">
        <v>9</v>
      </c>
      <c r="J2" s="19">
        <v>10</v>
      </c>
      <c r="K2" s="19">
        <v>11</v>
      </c>
    </row>
    <row r="3" s="1" customFormat="1" ht="19.5" spans="1:12">
      <c r="A3" s="301" t="s">
        <v>6</v>
      </c>
      <c r="B3" s="348" t="s">
        <v>7</v>
      </c>
      <c r="C3" s="349"/>
      <c r="D3" s="349"/>
      <c r="E3" s="349"/>
      <c r="F3" s="315"/>
      <c r="G3" s="315"/>
      <c r="H3" s="349"/>
      <c r="I3" s="315"/>
      <c r="J3" s="315"/>
      <c r="K3" s="407"/>
      <c r="L3" s="85"/>
    </row>
    <row r="4" s="1" customFormat="1" ht="15.75" spans="1:12">
      <c r="A4" s="350" t="s">
        <v>8</v>
      </c>
      <c r="B4" s="351" t="s">
        <v>77</v>
      </c>
      <c r="C4" s="352"/>
      <c r="D4" s="352"/>
      <c r="E4" s="353">
        <f>F4+G4+H4+I4+J4</f>
        <v>262891004.12</v>
      </c>
      <c r="F4" s="354">
        <f>SUM(F5:F8)</f>
        <v>164564076.58</v>
      </c>
      <c r="G4" s="354">
        <f>SUM(G5:G8)</f>
        <v>98326927.54</v>
      </c>
      <c r="H4" s="354">
        <f t="shared" ref="H4:J4" si="0">SUM(H5:H8)</f>
        <v>0</v>
      </c>
      <c r="I4" s="354">
        <f t="shared" si="0"/>
        <v>0</v>
      </c>
      <c r="J4" s="354">
        <f t="shared" si="0"/>
        <v>0</v>
      </c>
      <c r="K4" s="408" t="s">
        <v>13</v>
      </c>
      <c r="L4" s="85"/>
    </row>
    <row r="5" s="1" customFormat="1" ht="15.75" spans="1:12">
      <c r="A5" s="355"/>
      <c r="B5" s="352"/>
      <c r="C5" s="352"/>
      <c r="D5" s="352"/>
      <c r="E5" s="353">
        <f t="shared" ref="E5:E12" si="1">SUM(F5:J5)</f>
        <v>178080756.49</v>
      </c>
      <c r="F5" s="354">
        <f>F10+F11+F18+F19</f>
        <v>141479117.43</v>
      </c>
      <c r="G5" s="354">
        <f>G10+G11+G18+G19</f>
        <v>36601639.06</v>
      </c>
      <c r="H5" s="354">
        <f t="shared" ref="H5:J5" si="2">H10+H11+H18+H19</f>
        <v>0</v>
      </c>
      <c r="I5" s="354">
        <f t="shared" si="2"/>
        <v>0</v>
      </c>
      <c r="J5" s="354">
        <f t="shared" si="2"/>
        <v>0</v>
      </c>
      <c r="K5" s="409" t="s">
        <v>78</v>
      </c>
      <c r="L5" s="85"/>
    </row>
    <row r="6" s="1" customFormat="1" ht="15.75" spans="1:12">
      <c r="A6" s="355"/>
      <c r="B6" s="352"/>
      <c r="C6" s="352"/>
      <c r="D6" s="352"/>
      <c r="E6" s="353">
        <f t="shared" si="1"/>
        <v>1471035.85</v>
      </c>
      <c r="F6" s="354">
        <f>F12+F13</f>
        <v>724063.62</v>
      </c>
      <c r="G6" s="354">
        <f>G12+G13</f>
        <v>746972.23</v>
      </c>
      <c r="H6" s="354">
        <f t="shared" ref="H6:J6" si="3">H12+H13</f>
        <v>0</v>
      </c>
      <c r="I6" s="354">
        <f t="shared" si="3"/>
        <v>0</v>
      </c>
      <c r="J6" s="354">
        <f t="shared" si="3"/>
        <v>0</v>
      </c>
      <c r="K6" s="409" t="s">
        <v>71</v>
      </c>
      <c r="L6" s="85"/>
    </row>
    <row r="7" s="1" customFormat="1" ht="15.75" spans="1:12">
      <c r="A7" s="355"/>
      <c r="B7" s="352"/>
      <c r="C7" s="352"/>
      <c r="D7" s="352"/>
      <c r="E7" s="353">
        <f t="shared" si="1"/>
        <v>369607</v>
      </c>
      <c r="F7" s="354">
        <f>F14+F15</f>
        <v>181925.53</v>
      </c>
      <c r="G7" s="354">
        <f>G14+G15</f>
        <v>187681.47</v>
      </c>
      <c r="H7" s="354">
        <f t="shared" ref="H7:J7" si="4">H14+H15</f>
        <v>0</v>
      </c>
      <c r="I7" s="354">
        <f t="shared" si="4"/>
        <v>0</v>
      </c>
      <c r="J7" s="354">
        <f t="shared" si="4"/>
        <v>0</v>
      </c>
      <c r="K7" s="409" t="s">
        <v>16</v>
      </c>
      <c r="L7" s="85"/>
    </row>
    <row r="8" s="1" customFormat="1" ht="16.5" spans="1:12">
      <c r="A8" s="355"/>
      <c r="B8" s="352"/>
      <c r="C8" s="352"/>
      <c r="D8" s="352"/>
      <c r="E8" s="353">
        <f t="shared" si="1"/>
        <v>82969604.78</v>
      </c>
      <c r="F8" s="354">
        <f>F20+F21</f>
        <v>22178970</v>
      </c>
      <c r="G8" s="354">
        <f>G20+G21+G16</f>
        <v>60790634.78</v>
      </c>
      <c r="H8" s="354">
        <v>0</v>
      </c>
      <c r="I8" s="354">
        <v>0</v>
      </c>
      <c r="J8" s="354">
        <v>0</v>
      </c>
      <c r="K8" s="409" t="s">
        <v>73</v>
      </c>
      <c r="L8" s="85"/>
    </row>
    <row r="9" s="1" customFormat="1" ht="15.75" spans="1:12">
      <c r="A9" s="350" t="s">
        <v>11</v>
      </c>
      <c r="B9" s="356" t="s">
        <v>79</v>
      </c>
      <c r="C9" s="352"/>
      <c r="D9" s="352"/>
      <c r="E9" s="353">
        <f t="shared" si="1"/>
        <v>94314714.12</v>
      </c>
      <c r="F9" s="354">
        <f>F10+F11+F12+F13+F14+F16</f>
        <v>36385106.58</v>
      </c>
      <c r="G9" s="354">
        <f>G10+G11+G12+G13+G14+G16+G15</f>
        <v>57929607.54</v>
      </c>
      <c r="H9" s="354">
        <f t="shared" ref="H9:J9" si="5">H10+H11+H12+H13+H14+H16</f>
        <v>0</v>
      </c>
      <c r="I9" s="354">
        <f t="shared" si="5"/>
        <v>0</v>
      </c>
      <c r="J9" s="354">
        <f t="shared" si="5"/>
        <v>0</v>
      </c>
      <c r="K9" s="408" t="s">
        <v>13</v>
      </c>
      <c r="L9" s="85"/>
    </row>
    <row r="10" s="1" customFormat="1" ht="15.75" spans="1:12">
      <c r="A10" s="355"/>
      <c r="B10" s="357"/>
      <c r="C10" s="357"/>
      <c r="D10" s="357"/>
      <c r="E10" s="353">
        <f t="shared" si="1"/>
        <v>72080756.49</v>
      </c>
      <c r="F10" s="358">
        <v>35479117.43</v>
      </c>
      <c r="G10" s="359">
        <v>36601639.06</v>
      </c>
      <c r="H10" s="360">
        <v>0</v>
      </c>
      <c r="I10" s="410">
        <v>0</v>
      </c>
      <c r="J10" s="410">
        <v>0</v>
      </c>
      <c r="K10" s="411" t="s">
        <v>20</v>
      </c>
      <c r="L10" s="85"/>
    </row>
    <row r="11" s="1" customFormat="1" ht="15.75" spans="1:12">
      <c r="A11" s="355"/>
      <c r="B11" s="357"/>
      <c r="C11" s="357"/>
      <c r="D11" s="357"/>
      <c r="E11" s="353">
        <f t="shared" si="1"/>
        <v>0</v>
      </c>
      <c r="F11" s="361">
        <v>0</v>
      </c>
      <c r="G11" s="361">
        <v>0</v>
      </c>
      <c r="H11" s="361">
        <v>0</v>
      </c>
      <c r="I11" s="361">
        <v>0</v>
      </c>
      <c r="J11" s="361">
        <v>0</v>
      </c>
      <c r="K11" s="412" t="s">
        <v>21</v>
      </c>
      <c r="L11" s="85"/>
    </row>
    <row r="12" s="1" customFormat="1" ht="15.75" spans="1:12">
      <c r="A12" s="355"/>
      <c r="B12" s="357"/>
      <c r="C12" s="357"/>
      <c r="D12" s="357"/>
      <c r="E12" s="353">
        <f t="shared" si="1"/>
        <v>1471035.85</v>
      </c>
      <c r="F12" s="359">
        <v>724063.62</v>
      </c>
      <c r="G12" s="359">
        <v>746972.23</v>
      </c>
      <c r="H12" s="359">
        <v>0</v>
      </c>
      <c r="I12" s="359">
        <v>0</v>
      </c>
      <c r="J12" s="359">
        <v>0</v>
      </c>
      <c r="K12" s="411" t="s">
        <v>23</v>
      </c>
      <c r="L12" s="85"/>
    </row>
    <row r="13" s="1" customFormat="1" ht="15.75" spans="1:12">
      <c r="A13" s="355"/>
      <c r="B13" s="357"/>
      <c r="C13" s="357"/>
      <c r="D13" s="357"/>
      <c r="E13" s="353">
        <f t="shared" ref="E13:E21" si="6">SUM(F13:J13)</f>
        <v>0</v>
      </c>
      <c r="F13" s="361">
        <v>0</v>
      </c>
      <c r="G13" s="361">
        <v>0</v>
      </c>
      <c r="H13" s="361">
        <v>0</v>
      </c>
      <c r="I13" s="361">
        <v>0</v>
      </c>
      <c r="J13" s="361">
        <v>0</v>
      </c>
      <c r="K13" s="412" t="s">
        <v>24</v>
      </c>
      <c r="L13" s="85"/>
    </row>
    <row r="14" s="1" customFormat="1" ht="15.75" spans="1:12">
      <c r="A14" s="355"/>
      <c r="B14" s="357"/>
      <c r="C14" s="357"/>
      <c r="D14" s="357"/>
      <c r="E14" s="353">
        <f t="shared" si="6"/>
        <v>369607</v>
      </c>
      <c r="F14" s="359">
        <v>181925.53</v>
      </c>
      <c r="G14" s="359">
        <v>187681.47</v>
      </c>
      <c r="H14" s="359">
        <v>0</v>
      </c>
      <c r="I14" s="359">
        <v>0</v>
      </c>
      <c r="J14" s="359">
        <v>0</v>
      </c>
      <c r="K14" s="411" t="s">
        <v>26</v>
      </c>
      <c r="L14" s="85"/>
    </row>
    <row r="15" s="1" customFormat="1" ht="15.75" spans="1:12">
      <c r="A15" s="355"/>
      <c r="B15" s="357"/>
      <c r="C15" s="357"/>
      <c r="D15" s="357"/>
      <c r="E15" s="353">
        <f t="shared" si="6"/>
        <v>0</v>
      </c>
      <c r="F15" s="359">
        <v>0</v>
      </c>
      <c r="G15" s="359">
        <v>0</v>
      </c>
      <c r="H15" s="359">
        <v>0</v>
      </c>
      <c r="I15" s="359">
        <v>0</v>
      </c>
      <c r="J15" s="359">
        <v>0</v>
      </c>
      <c r="K15" s="411" t="s">
        <v>45</v>
      </c>
      <c r="L15" s="85"/>
    </row>
    <row r="16" s="1" customFormat="1" ht="16.5" spans="1:12">
      <c r="A16" s="362"/>
      <c r="B16" s="363"/>
      <c r="C16" s="357"/>
      <c r="D16" s="357"/>
      <c r="E16" s="353">
        <f t="shared" si="6"/>
        <v>20393314.78</v>
      </c>
      <c r="F16" s="361">
        <v>0</v>
      </c>
      <c r="G16" s="361">
        <f>269532.53+12123782.25+8000000</f>
        <v>20393314.78</v>
      </c>
      <c r="H16" s="361">
        <v>0</v>
      </c>
      <c r="I16" s="361">
        <v>0</v>
      </c>
      <c r="J16" s="361">
        <v>0</v>
      </c>
      <c r="K16" s="412" t="s">
        <v>29</v>
      </c>
      <c r="L16" s="85"/>
    </row>
    <row r="17" s="1" customFormat="1" ht="15.75" spans="1:12">
      <c r="A17" s="350" t="s">
        <v>91</v>
      </c>
      <c r="B17" s="356" t="s">
        <v>92</v>
      </c>
      <c r="C17" s="357"/>
      <c r="D17" s="357"/>
      <c r="E17" s="353">
        <f t="shared" si="6"/>
        <v>168576290</v>
      </c>
      <c r="F17" s="361">
        <f>F18+F19+F20+F21</f>
        <v>128178970</v>
      </c>
      <c r="G17" s="361">
        <f>G18+G19+G20+G21</f>
        <v>40397320</v>
      </c>
      <c r="H17" s="361">
        <f t="shared" ref="H17:J17" si="7">H18+H19+H20+H21</f>
        <v>0</v>
      </c>
      <c r="I17" s="361">
        <f t="shared" si="7"/>
        <v>0</v>
      </c>
      <c r="J17" s="361">
        <f t="shared" si="7"/>
        <v>0</v>
      </c>
      <c r="K17" s="412" t="s">
        <v>13</v>
      </c>
      <c r="L17" s="85"/>
    </row>
    <row r="18" s="1" customFormat="1" ht="15.75" spans="1:12">
      <c r="A18" s="355"/>
      <c r="B18" s="357"/>
      <c r="C18" s="357"/>
      <c r="D18" s="357"/>
      <c r="E18" s="353">
        <f t="shared" si="6"/>
        <v>63133615.4</v>
      </c>
      <c r="F18" s="358">
        <f>106000000-37799322.82-5067061.78</f>
        <v>63133615.4</v>
      </c>
      <c r="G18" s="358">
        <v>0</v>
      </c>
      <c r="H18" s="358">
        <v>0</v>
      </c>
      <c r="I18" s="358">
        <v>0</v>
      </c>
      <c r="J18" s="358">
        <v>0</v>
      </c>
      <c r="K18" s="411" t="s">
        <v>95</v>
      </c>
      <c r="L18" s="85"/>
    </row>
    <row r="19" s="1" customFormat="1" ht="15.75" spans="1:12">
      <c r="A19" s="355"/>
      <c r="B19" s="357"/>
      <c r="C19" s="357"/>
      <c r="D19" s="357"/>
      <c r="E19" s="353">
        <f t="shared" si="6"/>
        <v>42866384.6</v>
      </c>
      <c r="F19" s="358">
        <f>37799322.82+5067061.78</f>
        <v>42866384.6</v>
      </c>
      <c r="G19" s="358">
        <v>0</v>
      </c>
      <c r="H19" s="358">
        <v>0</v>
      </c>
      <c r="I19" s="358">
        <v>0</v>
      </c>
      <c r="J19" s="358">
        <v>0</v>
      </c>
      <c r="K19" s="411" t="s">
        <v>117</v>
      </c>
      <c r="L19" s="85"/>
    </row>
    <row r="20" s="1" customFormat="1" ht="19.5" customHeight="1" spans="1:12">
      <c r="A20" s="355"/>
      <c r="B20" s="364"/>
      <c r="C20" s="357"/>
      <c r="D20" s="357"/>
      <c r="E20" s="353">
        <f t="shared" si="6"/>
        <v>23153432.89</v>
      </c>
      <c r="F20" s="358">
        <f>(22776970-598000)-1422857.11</f>
        <v>20756112.89</v>
      </c>
      <c r="G20" s="358">
        <v>2397320</v>
      </c>
      <c r="H20" s="358">
        <v>0</v>
      </c>
      <c r="I20" s="358">
        <v>0</v>
      </c>
      <c r="J20" s="358">
        <v>0</v>
      </c>
      <c r="K20" s="411" t="s">
        <v>96</v>
      </c>
      <c r="L20" s="85"/>
    </row>
    <row r="21" s="1" customFormat="1" ht="16.5" customHeight="1" spans="1:12">
      <c r="A21" s="365"/>
      <c r="B21" s="366"/>
      <c r="C21" s="357"/>
      <c r="D21" s="357"/>
      <c r="E21" s="353">
        <f t="shared" si="6"/>
        <v>39422857.11</v>
      </c>
      <c r="F21" s="358">
        <v>1422857.11</v>
      </c>
      <c r="G21" s="358">
        <v>38000000</v>
      </c>
      <c r="H21" s="358">
        <v>0</v>
      </c>
      <c r="I21" s="358">
        <v>0</v>
      </c>
      <c r="J21" s="358">
        <v>0</v>
      </c>
      <c r="K21" s="411" t="s">
        <v>132</v>
      </c>
      <c r="L21" s="85"/>
    </row>
    <row r="22" ht="18.75" spans="1:11">
      <c r="A22" s="315" t="s">
        <v>36</v>
      </c>
      <c r="B22" s="367" t="s">
        <v>37</v>
      </c>
      <c r="C22" s="367"/>
      <c r="D22" s="367"/>
      <c r="E22" s="367"/>
      <c r="F22" s="367"/>
      <c r="G22" s="367"/>
      <c r="H22" s="367"/>
      <c r="I22" s="367"/>
      <c r="J22" s="367"/>
      <c r="K22" s="367"/>
    </row>
    <row r="23" ht="18.75" spans="1:12">
      <c r="A23" s="368" t="s">
        <v>38</v>
      </c>
      <c r="B23" s="369" t="s">
        <v>80</v>
      </c>
      <c r="C23" s="370"/>
      <c r="D23" s="370"/>
      <c r="E23" s="371">
        <f t="shared" ref="E23:E54" si="8">F23+G23+H23+I23+J23</f>
        <v>435344971.5</v>
      </c>
      <c r="F23" s="371">
        <f>F24+F25+F26+F27</f>
        <v>138310399.39</v>
      </c>
      <c r="G23" s="371">
        <f t="shared" ref="G23:J23" si="9">G24+G25+G26+G27</f>
        <v>137047518.73</v>
      </c>
      <c r="H23" s="371">
        <f t="shared" si="9"/>
        <v>79993526.69</v>
      </c>
      <c r="I23" s="371">
        <f t="shared" si="9"/>
        <v>79993526.69</v>
      </c>
      <c r="J23" s="371">
        <f t="shared" si="9"/>
        <v>0</v>
      </c>
      <c r="K23" s="413" t="s">
        <v>10</v>
      </c>
      <c r="L23" s="371">
        <f>L24+L25+L26+L27</f>
        <v>17057864.85</v>
      </c>
    </row>
    <row r="24" spans="1:12">
      <c r="A24" s="372"/>
      <c r="B24" s="373"/>
      <c r="C24" s="370"/>
      <c r="D24" s="370"/>
      <c r="E24" s="371">
        <f t="shared" si="8"/>
        <v>105382544.87</v>
      </c>
      <c r="F24" s="371">
        <f>F36+F39</f>
        <v>84818282.07</v>
      </c>
      <c r="G24" s="371">
        <f>G36+G39</f>
        <v>20564262.8</v>
      </c>
      <c r="H24" s="371">
        <f t="shared" ref="H24:I24" si="10">H36+H39</f>
        <v>0</v>
      </c>
      <c r="I24" s="371">
        <f t="shared" si="10"/>
        <v>0</v>
      </c>
      <c r="J24" s="371">
        <f>J36</f>
        <v>0</v>
      </c>
      <c r="K24" s="371" t="s">
        <v>14</v>
      </c>
      <c r="L24" s="371">
        <f>L36</f>
        <v>0</v>
      </c>
    </row>
    <row r="25" spans="1:12">
      <c r="A25" s="372"/>
      <c r="B25" s="373"/>
      <c r="C25" s="374"/>
      <c r="D25" s="374"/>
      <c r="E25" s="371">
        <f t="shared" si="8"/>
        <v>265287582.34</v>
      </c>
      <c r="F25" s="371">
        <f>F29+F40</f>
        <v>32086740.83</v>
      </c>
      <c r="G25" s="371">
        <f>G29+G40</f>
        <v>78013399.73</v>
      </c>
      <c r="H25" s="371">
        <f t="shared" ref="H25:I25" si="11">H29+H40</f>
        <v>77593720.89</v>
      </c>
      <c r="I25" s="371">
        <f t="shared" si="11"/>
        <v>77593720.89</v>
      </c>
      <c r="J25" s="371">
        <f>J29</f>
        <v>0</v>
      </c>
      <c r="K25" s="261" t="s">
        <v>15</v>
      </c>
      <c r="L25" s="371">
        <f>L29</f>
        <v>0</v>
      </c>
    </row>
    <row r="26" spans="1:14">
      <c r="A26" s="372"/>
      <c r="B26" s="373"/>
      <c r="C26" s="374"/>
      <c r="D26" s="374"/>
      <c r="E26" s="371">
        <f t="shared" si="8"/>
        <v>9260500.17</v>
      </c>
      <c r="F26" s="371">
        <f>F30+F37+F42</f>
        <v>1849123.76</v>
      </c>
      <c r="G26" s="371">
        <f>G30+G37+G41</f>
        <v>2611764.81</v>
      </c>
      <c r="H26" s="371">
        <f t="shared" ref="H26:I26" si="12">H30+H37+H42</f>
        <v>2399805.8</v>
      </c>
      <c r="I26" s="371">
        <f t="shared" si="12"/>
        <v>2399805.8</v>
      </c>
      <c r="J26" s="371">
        <f>J30+J37</f>
        <v>0</v>
      </c>
      <c r="K26" s="261" t="s">
        <v>16</v>
      </c>
      <c r="L26" s="371">
        <f>L30+L37</f>
        <v>0</v>
      </c>
      <c r="M26" s="94"/>
      <c r="N26" s="94"/>
    </row>
    <row r="27" spans="1:14">
      <c r="A27" s="375"/>
      <c r="B27" s="376"/>
      <c r="C27" s="374"/>
      <c r="D27" s="374"/>
      <c r="E27" s="371">
        <f t="shared" si="8"/>
        <v>55414344.12</v>
      </c>
      <c r="F27" s="371">
        <f>F43+F42</f>
        <v>19556252.73</v>
      </c>
      <c r="G27" s="371">
        <f t="shared" ref="G27:J27" si="13">G43+G42</f>
        <v>35858091.39</v>
      </c>
      <c r="H27" s="371">
        <f t="shared" si="13"/>
        <v>0</v>
      </c>
      <c r="I27" s="371">
        <f t="shared" si="13"/>
        <v>0</v>
      </c>
      <c r="J27" s="371">
        <f t="shared" si="13"/>
        <v>0</v>
      </c>
      <c r="K27" s="371" t="s">
        <v>17</v>
      </c>
      <c r="L27" s="371">
        <f>L43</f>
        <v>17057864.85</v>
      </c>
      <c r="M27" s="94"/>
      <c r="N27" s="94"/>
    </row>
    <row r="28" ht="15.75" spans="1:14">
      <c r="A28" s="377" t="s">
        <v>40</v>
      </c>
      <c r="B28" s="374" t="s">
        <v>81</v>
      </c>
      <c r="C28" s="378"/>
      <c r="D28" s="378"/>
      <c r="E28" s="371">
        <f t="shared" si="8"/>
        <v>273059694.33</v>
      </c>
      <c r="F28" s="379">
        <f>SUM(F29:F30)</f>
        <v>33079114.26</v>
      </c>
      <c r="G28" s="379">
        <f t="shared" ref="G28:J28" si="14">SUM(G29:G30)</f>
        <v>79993526.69</v>
      </c>
      <c r="H28" s="379">
        <f t="shared" si="14"/>
        <v>79993526.69</v>
      </c>
      <c r="I28" s="379">
        <f t="shared" si="14"/>
        <v>79993526.69</v>
      </c>
      <c r="J28" s="379">
        <f t="shared" si="14"/>
        <v>0</v>
      </c>
      <c r="K28" s="414" t="s">
        <v>10</v>
      </c>
      <c r="M28" s="94"/>
      <c r="N28" s="94"/>
    </row>
    <row r="29" ht="15.75" spans="1:11">
      <c r="A29" s="380"/>
      <c r="B29" s="374"/>
      <c r="C29" s="378"/>
      <c r="D29" s="378"/>
      <c r="E29" s="371">
        <f t="shared" si="8"/>
        <v>264867903.5</v>
      </c>
      <c r="F29" s="381">
        <f>F31+F32</f>
        <v>32086740.83</v>
      </c>
      <c r="G29" s="381">
        <f>G31+G32</f>
        <v>77593720.89</v>
      </c>
      <c r="H29" s="381">
        <f>H31+H32</f>
        <v>77593720.89</v>
      </c>
      <c r="I29" s="381">
        <f>I31+I32</f>
        <v>77593720.89</v>
      </c>
      <c r="J29" s="381">
        <f>J31+J32</f>
        <v>0</v>
      </c>
      <c r="K29" s="414" t="s">
        <v>15</v>
      </c>
    </row>
    <row r="30" ht="15.75" spans="1:11">
      <c r="A30" s="380"/>
      <c r="B30" s="374"/>
      <c r="C30" s="378"/>
      <c r="D30" s="378"/>
      <c r="E30" s="371">
        <f t="shared" si="8"/>
        <v>8191790.83</v>
      </c>
      <c r="F30" s="381">
        <f>F33+F34</f>
        <v>992373.43</v>
      </c>
      <c r="G30" s="381">
        <f>G33+G34</f>
        <v>2399805.8</v>
      </c>
      <c r="H30" s="381">
        <f>H33+H34</f>
        <v>2399805.8</v>
      </c>
      <c r="I30" s="381">
        <f>I33+I34</f>
        <v>2399805.8</v>
      </c>
      <c r="J30" s="381">
        <f>J33+J34</f>
        <v>0</v>
      </c>
      <c r="K30" s="414" t="s">
        <v>16</v>
      </c>
    </row>
    <row r="31" ht="15.75" spans="1:11">
      <c r="A31" s="377" t="s">
        <v>42</v>
      </c>
      <c r="B31" s="374" t="s">
        <v>43</v>
      </c>
      <c r="C31" s="27"/>
      <c r="D31" s="27"/>
      <c r="E31" s="371">
        <f t="shared" si="8"/>
        <v>255968962.2</v>
      </c>
      <c r="F31" s="28">
        <f>26400000-3212200.47</f>
        <v>23187799.53</v>
      </c>
      <c r="G31" s="28">
        <v>77593720.89</v>
      </c>
      <c r="H31" s="28">
        <v>77593720.89</v>
      </c>
      <c r="I31" s="28">
        <v>77593720.89</v>
      </c>
      <c r="J31" s="28">
        <v>0</v>
      </c>
      <c r="K31" s="64" t="s">
        <v>23</v>
      </c>
    </row>
    <row r="32" ht="15.75" spans="1:11">
      <c r="A32" s="380"/>
      <c r="B32" s="374"/>
      <c r="C32" s="27"/>
      <c r="D32" s="27"/>
      <c r="E32" s="371">
        <f t="shared" si="8"/>
        <v>8898941.3</v>
      </c>
      <c r="F32" s="28">
        <f>5686740.83+3212200.47</f>
        <v>8898941.3</v>
      </c>
      <c r="G32" s="28">
        <v>0</v>
      </c>
      <c r="H32" s="28">
        <v>0</v>
      </c>
      <c r="I32" s="28">
        <v>0</v>
      </c>
      <c r="J32" s="28">
        <v>0</v>
      </c>
      <c r="K32" s="64" t="s">
        <v>24</v>
      </c>
    </row>
    <row r="33" ht="15.75" spans="1:11">
      <c r="A33" s="380"/>
      <c r="B33" s="374"/>
      <c r="C33" s="27"/>
      <c r="D33" s="27"/>
      <c r="E33" s="371">
        <f t="shared" si="8"/>
        <v>7916565.84</v>
      </c>
      <c r="F33" s="28">
        <f>816494.85-99346.41</f>
        <v>717148.44</v>
      </c>
      <c r="G33" s="28">
        <v>2399805.8</v>
      </c>
      <c r="H33" s="28">
        <f>2375317.99+24487.81</f>
        <v>2399805.8</v>
      </c>
      <c r="I33" s="28">
        <f>2375317.99+24487.81</f>
        <v>2399805.8</v>
      </c>
      <c r="J33" s="28">
        <v>0</v>
      </c>
      <c r="K33" s="64" t="s">
        <v>44</v>
      </c>
    </row>
    <row r="34" ht="15.75" spans="1:11">
      <c r="A34" s="380"/>
      <c r="B34" s="374"/>
      <c r="C34" s="27"/>
      <c r="D34" s="27"/>
      <c r="E34" s="371">
        <f t="shared" si="8"/>
        <v>275224.99</v>
      </c>
      <c r="F34" s="28">
        <f>175878.58+99346.41</f>
        <v>275224.99</v>
      </c>
      <c r="G34" s="28">
        <v>0</v>
      </c>
      <c r="H34" s="28">
        <v>0</v>
      </c>
      <c r="I34" s="28">
        <v>0</v>
      </c>
      <c r="J34" s="28">
        <v>0</v>
      </c>
      <c r="K34" s="64" t="s">
        <v>45</v>
      </c>
    </row>
    <row r="35" ht="15.75" spans="1:11">
      <c r="A35" s="377" t="s">
        <v>48</v>
      </c>
      <c r="B35" s="382" t="s">
        <v>82</v>
      </c>
      <c r="C35" s="383"/>
      <c r="D35" s="383"/>
      <c r="E35" s="371">
        <f t="shared" si="8"/>
        <v>85675032.4</v>
      </c>
      <c r="F35" s="384">
        <f>SUM(F36:F37)</f>
        <v>85675032.4</v>
      </c>
      <c r="G35" s="384">
        <f t="shared" ref="G35:J35" si="15">SUM(G36:G37)</f>
        <v>0</v>
      </c>
      <c r="H35" s="384">
        <f t="shared" si="15"/>
        <v>0</v>
      </c>
      <c r="I35" s="384">
        <f t="shared" si="15"/>
        <v>0</v>
      </c>
      <c r="J35" s="384">
        <f t="shared" si="15"/>
        <v>0</v>
      </c>
      <c r="K35" s="415" t="s">
        <v>50</v>
      </c>
    </row>
    <row r="36" ht="15.75" spans="1:11">
      <c r="A36" s="380"/>
      <c r="B36" s="385"/>
      <c r="C36" s="383"/>
      <c r="D36" s="383"/>
      <c r="E36" s="371">
        <f t="shared" si="8"/>
        <v>84818282.07</v>
      </c>
      <c r="F36" s="386">
        <v>84818282.07</v>
      </c>
      <c r="G36" s="386">
        <v>0</v>
      </c>
      <c r="H36" s="386">
        <v>0</v>
      </c>
      <c r="I36" s="386">
        <v>0</v>
      </c>
      <c r="J36" s="386">
        <v>0</v>
      </c>
      <c r="K36" s="415" t="s">
        <v>20</v>
      </c>
    </row>
    <row r="37" ht="30.75" customHeight="1" spans="1:11">
      <c r="A37" s="380"/>
      <c r="B37" s="385"/>
      <c r="C37" s="383"/>
      <c r="D37" s="383"/>
      <c r="E37" s="371">
        <f t="shared" si="8"/>
        <v>856750.33</v>
      </c>
      <c r="F37" s="386">
        <v>856750.33</v>
      </c>
      <c r="G37" s="386">
        <v>0</v>
      </c>
      <c r="H37" s="386">
        <v>0</v>
      </c>
      <c r="I37" s="386">
        <v>0</v>
      </c>
      <c r="J37" s="386">
        <v>0</v>
      </c>
      <c r="K37" s="415" t="s">
        <v>44</v>
      </c>
    </row>
    <row r="38" ht="15.75" spans="1:11">
      <c r="A38" s="377" t="s">
        <v>83</v>
      </c>
      <c r="B38" s="382" t="s">
        <v>127</v>
      </c>
      <c r="C38" s="383"/>
      <c r="D38" s="383"/>
      <c r="E38" s="371">
        <f t="shared" si="8"/>
        <v>48195900.65</v>
      </c>
      <c r="F38" s="384">
        <f>SUM(F39:F42)</f>
        <v>0</v>
      </c>
      <c r="G38" s="384">
        <f t="shared" ref="G38:J38" si="16">SUM(G39:G42)</f>
        <v>48195900.65</v>
      </c>
      <c r="H38" s="384">
        <f t="shared" si="16"/>
        <v>0</v>
      </c>
      <c r="I38" s="384">
        <f t="shared" si="16"/>
        <v>0</v>
      </c>
      <c r="J38" s="384">
        <f t="shared" si="16"/>
        <v>0</v>
      </c>
      <c r="K38" s="415" t="s">
        <v>50</v>
      </c>
    </row>
    <row r="39" ht="15.75" spans="1:11">
      <c r="A39" s="380"/>
      <c r="B39" s="385"/>
      <c r="C39" s="383"/>
      <c r="D39" s="383"/>
      <c r="E39" s="371">
        <f t="shared" si="8"/>
        <v>20564262.8</v>
      </c>
      <c r="F39" s="386">
        <v>0</v>
      </c>
      <c r="G39" s="386">
        <v>20564262.8</v>
      </c>
      <c r="H39" s="386">
        <v>0</v>
      </c>
      <c r="I39" s="386">
        <v>0</v>
      </c>
      <c r="J39" s="386">
        <v>0</v>
      </c>
      <c r="K39" s="415" t="s">
        <v>20</v>
      </c>
    </row>
    <row r="40" ht="15.75" spans="1:11">
      <c r="A40" s="380"/>
      <c r="B40" s="385"/>
      <c r="C40" s="383"/>
      <c r="D40" s="383"/>
      <c r="E40" s="371">
        <f t="shared" si="8"/>
        <v>419678.84</v>
      </c>
      <c r="F40" s="386">
        <v>0</v>
      </c>
      <c r="G40" s="386">
        <v>419678.84</v>
      </c>
      <c r="H40" s="386">
        <v>0</v>
      </c>
      <c r="I40" s="386">
        <v>0</v>
      </c>
      <c r="J40" s="386">
        <v>0</v>
      </c>
      <c r="K40" s="415" t="s">
        <v>23</v>
      </c>
    </row>
    <row r="41" ht="15.75" spans="1:11">
      <c r="A41" s="380"/>
      <c r="B41" s="385"/>
      <c r="C41" s="383"/>
      <c r="D41" s="383"/>
      <c r="E41" s="371">
        <f t="shared" si="8"/>
        <v>211959.01</v>
      </c>
      <c r="F41" s="386">
        <v>0</v>
      </c>
      <c r="G41" s="386">
        <v>211959.01</v>
      </c>
      <c r="H41" s="386">
        <v>0</v>
      </c>
      <c r="I41" s="386">
        <v>0</v>
      </c>
      <c r="J41" s="386">
        <v>0</v>
      </c>
      <c r="K41" s="415" t="s">
        <v>44</v>
      </c>
    </row>
    <row r="42" ht="14.25" customHeight="1" spans="1:11">
      <c r="A42" s="380"/>
      <c r="B42" s="385"/>
      <c r="C42" s="383"/>
      <c r="D42" s="383"/>
      <c r="E42" s="371">
        <f t="shared" si="8"/>
        <v>27000000</v>
      </c>
      <c r="F42" s="386">
        <v>0</v>
      </c>
      <c r="G42" s="386">
        <v>27000000</v>
      </c>
      <c r="H42" s="386">
        <v>0</v>
      </c>
      <c r="I42" s="386">
        <v>0</v>
      </c>
      <c r="J42" s="386">
        <v>0</v>
      </c>
      <c r="K42" s="415" t="s">
        <v>29</v>
      </c>
    </row>
    <row r="43" s="1" customFormat="1" ht="15.75" spans="1:12">
      <c r="A43" s="377" t="s">
        <v>128</v>
      </c>
      <c r="B43" s="382" t="s">
        <v>129</v>
      </c>
      <c r="C43" s="357"/>
      <c r="D43" s="357"/>
      <c r="E43" s="371">
        <f t="shared" si="8"/>
        <v>28414344.12</v>
      </c>
      <c r="F43" s="386">
        <f>F45+F44+F46</f>
        <v>19556252.73</v>
      </c>
      <c r="G43" s="386">
        <f>G45+G44</f>
        <v>8858091.39</v>
      </c>
      <c r="H43" s="386">
        <f>H45+H44</f>
        <v>0</v>
      </c>
      <c r="I43" s="386">
        <f>I45+I44</f>
        <v>0</v>
      </c>
      <c r="J43" s="386">
        <f>J45+J44</f>
        <v>0</v>
      </c>
      <c r="K43" s="416" t="s">
        <v>13</v>
      </c>
      <c r="L43" s="417">
        <f>L45+L44+L46</f>
        <v>17057864.85</v>
      </c>
    </row>
    <row r="44" s="1" customFormat="1" ht="15.75" spans="1:12">
      <c r="A44" s="380"/>
      <c r="B44" s="385"/>
      <c r="C44" s="357"/>
      <c r="D44" s="357"/>
      <c r="E44" s="371">
        <f t="shared" si="8"/>
        <v>23216344.12</v>
      </c>
      <c r="F44" s="386">
        <f>1800387.88+L44</f>
        <v>14358252.73</v>
      </c>
      <c r="G44" s="386">
        <f>1749443.35+249648.04+6859000</f>
        <v>8858091.39</v>
      </c>
      <c r="H44" s="386">
        <v>0</v>
      </c>
      <c r="I44" s="386">
        <v>0</v>
      </c>
      <c r="J44" s="386">
        <v>0</v>
      </c>
      <c r="K44" s="415" t="s">
        <v>29</v>
      </c>
      <c r="L44" s="85">
        <f>5500000+6500000+23484.85+75710.7+133771.91+324897.39</f>
        <v>12557864.85</v>
      </c>
    </row>
    <row r="45" s="1" customFormat="1" ht="15.75" spans="1:12">
      <c r="A45" s="380"/>
      <c r="B45" s="385"/>
      <c r="C45" s="357"/>
      <c r="D45" s="357"/>
      <c r="E45" s="371">
        <f t="shared" si="8"/>
        <v>4600000</v>
      </c>
      <c r="F45" s="386">
        <f>100000+L45</f>
        <v>4600000</v>
      </c>
      <c r="G45" s="386">
        <v>0</v>
      </c>
      <c r="H45" s="386">
        <v>0</v>
      </c>
      <c r="I45" s="386">
        <v>0</v>
      </c>
      <c r="J45" s="386">
        <v>0</v>
      </c>
      <c r="K45" s="415" t="s">
        <v>30</v>
      </c>
      <c r="L45" s="85">
        <v>4500000</v>
      </c>
    </row>
    <row r="46" s="1" customFormat="1" ht="15.75" spans="1:12">
      <c r="A46" s="380"/>
      <c r="B46" s="385"/>
      <c r="C46" s="357"/>
      <c r="D46" s="357"/>
      <c r="E46" s="371">
        <f t="shared" si="8"/>
        <v>598000</v>
      </c>
      <c r="F46" s="386">
        <v>598000</v>
      </c>
      <c r="G46" s="386">
        <v>0</v>
      </c>
      <c r="H46" s="386">
        <v>0</v>
      </c>
      <c r="I46" s="386">
        <v>0</v>
      </c>
      <c r="J46" s="386">
        <v>0</v>
      </c>
      <c r="K46" s="415" t="s">
        <v>101</v>
      </c>
      <c r="L46" s="85"/>
    </row>
    <row r="47" ht="18.75" spans="1:11">
      <c r="A47" s="315" t="s">
        <v>55</v>
      </c>
      <c r="B47" s="367" t="s">
        <v>56</v>
      </c>
      <c r="C47" s="367"/>
      <c r="D47" s="367"/>
      <c r="E47" s="367"/>
      <c r="F47" s="367"/>
      <c r="G47" s="367"/>
      <c r="H47" s="367"/>
      <c r="I47" s="367"/>
      <c r="J47" s="367"/>
      <c r="K47" s="367"/>
    </row>
    <row r="48" ht="15.75" spans="1:12">
      <c r="A48" s="387" t="s">
        <v>57</v>
      </c>
      <c r="B48" s="388" t="s">
        <v>85</v>
      </c>
      <c r="C48" s="389"/>
      <c r="D48" s="389"/>
      <c r="E48" s="390">
        <f t="shared" si="8"/>
        <v>20858938.63</v>
      </c>
      <c r="F48" s="391">
        <f>F49+F50</f>
        <v>8737726.51</v>
      </c>
      <c r="G48" s="391">
        <f t="shared" ref="G48:J48" si="17">G49+G50</f>
        <v>12121212.12</v>
      </c>
      <c r="H48" s="391">
        <f t="shared" si="17"/>
        <v>0</v>
      </c>
      <c r="I48" s="391">
        <f t="shared" si="17"/>
        <v>0</v>
      </c>
      <c r="J48" s="391">
        <f t="shared" si="17"/>
        <v>0</v>
      </c>
      <c r="K48" s="418" t="s">
        <v>10</v>
      </c>
      <c r="L48" s="419">
        <f>L49+L50</f>
        <v>-2348485.33</v>
      </c>
    </row>
    <row r="49" ht="15.75" spans="1:12">
      <c r="A49" s="392"/>
      <c r="B49" s="388"/>
      <c r="C49" s="389"/>
      <c r="D49" s="389"/>
      <c r="E49" s="390">
        <f t="shared" si="8"/>
        <v>20639999.24</v>
      </c>
      <c r="F49" s="391">
        <f>F51+F52</f>
        <v>8639999.24</v>
      </c>
      <c r="G49" s="391">
        <f t="shared" ref="G49:J49" si="18">G51+G52</f>
        <v>12000000</v>
      </c>
      <c r="H49" s="391">
        <f t="shared" si="18"/>
        <v>0</v>
      </c>
      <c r="I49" s="391">
        <f t="shared" si="18"/>
        <v>0</v>
      </c>
      <c r="J49" s="391">
        <f t="shared" si="18"/>
        <v>0</v>
      </c>
      <c r="K49" s="418" t="s">
        <v>15</v>
      </c>
      <c r="L49" s="419">
        <f>L51+L52</f>
        <v>-2325000.48</v>
      </c>
    </row>
    <row r="50" ht="15.75" spans="1:12">
      <c r="A50" s="392"/>
      <c r="B50" s="388"/>
      <c r="C50" s="389"/>
      <c r="D50" s="389"/>
      <c r="E50" s="390">
        <f t="shared" si="8"/>
        <v>218939.39</v>
      </c>
      <c r="F50" s="391">
        <f>F53+F54</f>
        <v>97727.27</v>
      </c>
      <c r="G50" s="391">
        <f t="shared" ref="G50:J50" si="19">G53+G54</f>
        <v>121212.12</v>
      </c>
      <c r="H50" s="391">
        <f t="shared" si="19"/>
        <v>0</v>
      </c>
      <c r="I50" s="391">
        <f t="shared" si="19"/>
        <v>0</v>
      </c>
      <c r="J50" s="391">
        <f t="shared" si="19"/>
        <v>0</v>
      </c>
      <c r="K50" s="418" t="s">
        <v>16</v>
      </c>
      <c r="L50" s="419">
        <f>L53+L54</f>
        <v>-23484.85</v>
      </c>
    </row>
    <row r="51" ht="15.75" spans="1:12">
      <c r="A51" s="393" t="s">
        <v>59</v>
      </c>
      <c r="B51" s="394" t="s">
        <v>86</v>
      </c>
      <c r="C51" s="27"/>
      <c r="D51" s="27"/>
      <c r="E51" s="390">
        <f t="shared" si="8"/>
        <v>20639999.24</v>
      </c>
      <c r="F51" s="28">
        <f>9674999.52-1035000.28</f>
        <v>8639999.24</v>
      </c>
      <c r="G51" s="28">
        <v>12000000</v>
      </c>
      <c r="H51" s="28">
        <v>0</v>
      </c>
      <c r="I51" s="28">
        <v>0</v>
      </c>
      <c r="J51" s="28">
        <v>0</v>
      </c>
      <c r="K51" s="411" t="s">
        <v>65</v>
      </c>
      <c r="L51" s="2">
        <v>-2325000.48</v>
      </c>
    </row>
    <row r="52" ht="15.75" spans="1:11">
      <c r="A52" s="393"/>
      <c r="B52" s="394"/>
      <c r="C52" s="27"/>
      <c r="D52" s="27"/>
      <c r="E52" s="390">
        <f t="shared" si="8"/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412" t="s">
        <v>67</v>
      </c>
    </row>
    <row r="53" ht="15.75" spans="1:12">
      <c r="A53" s="393"/>
      <c r="B53" s="394"/>
      <c r="C53" s="27"/>
      <c r="D53" s="27"/>
      <c r="E53" s="390">
        <f t="shared" si="8"/>
        <v>218939.39</v>
      </c>
      <c r="F53" s="28">
        <v>97727.27</v>
      </c>
      <c r="G53" s="28">
        <v>121212.12</v>
      </c>
      <c r="H53" s="28">
        <v>0</v>
      </c>
      <c r="I53" s="28">
        <v>0</v>
      </c>
      <c r="J53" s="28">
        <v>0</v>
      </c>
      <c r="K53" s="411" t="s">
        <v>44</v>
      </c>
      <c r="L53" s="2">
        <v>-23484.85</v>
      </c>
    </row>
    <row r="54" ht="15.75" spans="1:11">
      <c r="A54" s="393"/>
      <c r="B54" s="395"/>
      <c r="C54" s="27"/>
      <c r="D54" s="27"/>
      <c r="E54" s="390">
        <f t="shared" si="8"/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412" t="s">
        <v>45</v>
      </c>
    </row>
    <row r="55" ht="16.5" customHeight="1" spans="1:12">
      <c r="A55" s="396" t="s">
        <v>70</v>
      </c>
      <c r="B55" s="397"/>
      <c r="C55" s="397"/>
      <c r="D55" s="398"/>
      <c r="E55" s="279">
        <f t="shared" ref="E55:E59" si="20">SUM(F55:J55)</f>
        <v>719094914.25</v>
      </c>
      <c r="F55" s="279">
        <f>F56+F57+F58+F59</f>
        <v>311612202.48</v>
      </c>
      <c r="G55" s="279">
        <f>G56+G57+G58+G59</f>
        <v>247495658.39</v>
      </c>
      <c r="H55" s="279">
        <f t="shared" ref="H55:J55" si="21">H56+H57+H58+H59</f>
        <v>79993526.69</v>
      </c>
      <c r="I55" s="279">
        <f t="shared" si="21"/>
        <v>79993526.69</v>
      </c>
      <c r="J55" s="279">
        <f t="shared" si="21"/>
        <v>0</v>
      </c>
      <c r="K55" s="340"/>
      <c r="L55" s="278">
        <f>L56+L57+L58+L59</f>
        <v>14709379.52</v>
      </c>
    </row>
    <row r="56" ht="18.75" spans="1:12">
      <c r="A56" s="399"/>
      <c r="B56" s="400"/>
      <c r="C56" s="400"/>
      <c r="D56" s="401"/>
      <c r="E56" s="279">
        <f t="shared" si="20"/>
        <v>283463301.36</v>
      </c>
      <c r="F56" s="280">
        <f>F5+F24</f>
        <v>226297399.5</v>
      </c>
      <c r="G56" s="280">
        <f>G5+G24</f>
        <v>57165901.86</v>
      </c>
      <c r="H56" s="280">
        <f>H5+H24</f>
        <v>0</v>
      </c>
      <c r="I56" s="280">
        <f>I5+I24</f>
        <v>0</v>
      </c>
      <c r="J56" s="280">
        <f>J5+J24</f>
        <v>0</v>
      </c>
      <c r="K56" s="420" t="s">
        <v>14</v>
      </c>
      <c r="L56" s="280">
        <f>L5+L24</f>
        <v>0</v>
      </c>
    </row>
    <row r="57" ht="18.75" spans="1:12">
      <c r="A57" s="399"/>
      <c r="B57" s="400"/>
      <c r="C57" s="400"/>
      <c r="D57" s="401"/>
      <c r="E57" s="279">
        <f t="shared" si="20"/>
        <v>287398617.43</v>
      </c>
      <c r="F57" s="280">
        <f t="shared" ref="F57:J58" si="22">F6+F25+F49</f>
        <v>41450803.69</v>
      </c>
      <c r="G57" s="280">
        <f t="shared" si="22"/>
        <v>90760371.96</v>
      </c>
      <c r="H57" s="280">
        <f t="shared" si="22"/>
        <v>77593720.89</v>
      </c>
      <c r="I57" s="280">
        <f t="shared" si="22"/>
        <v>77593720.89</v>
      </c>
      <c r="J57" s="280">
        <f t="shared" si="22"/>
        <v>0</v>
      </c>
      <c r="K57" s="420" t="s">
        <v>71</v>
      </c>
      <c r="L57" s="281">
        <f t="shared" ref="L57:L58" si="23">L6+L25+L49</f>
        <v>-2325000.48</v>
      </c>
    </row>
    <row r="58" ht="18.75" customHeight="1" spans="1:12">
      <c r="A58" s="399"/>
      <c r="B58" s="400"/>
      <c r="C58" s="400"/>
      <c r="D58" s="401"/>
      <c r="E58" s="279">
        <f t="shared" si="20"/>
        <v>9849046.56</v>
      </c>
      <c r="F58" s="280">
        <f t="shared" si="22"/>
        <v>2128776.56</v>
      </c>
      <c r="G58" s="280">
        <f t="shared" si="22"/>
        <v>2920658.4</v>
      </c>
      <c r="H58" s="280">
        <f t="shared" si="22"/>
        <v>2399805.8</v>
      </c>
      <c r="I58" s="280">
        <f t="shared" si="22"/>
        <v>2399805.8</v>
      </c>
      <c r="J58" s="280">
        <f t="shared" si="22"/>
        <v>0</v>
      </c>
      <c r="K58" s="287" t="s">
        <v>16</v>
      </c>
      <c r="L58" s="281">
        <f t="shared" si="23"/>
        <v>-23484.85</v>
      </c>
    </row>
    <row r="59" ht="18.75" customHeight="1" spans="1:12">
      <c r="A59" s="402"/>
      <c r="B59" s="403"/>
      <c r="C59" s="403"/>
      <c r="D59" s="404"/>
      <c r="E59" s="279">
        <f t="shared" si="20"/>
        <v>138383948.9</v>
      </c>
      <c r="F59" s="282">
        <f>F27+F8</f>
        <v>41735222.73</v>
      </c>
      <c r="G59" s="282">
        <f>G27+G8</f>
        <v>96648726.17</v>
      </c>
      <c r="H59" s="282">
        <f t="shared" ref="H59:J59" si="24">H27</f>
        <v>0</v>
      </c>
      <c r="I59" s="282">
        <f t="shared" si="24"/>
        <v>0</v>
      </c>
      <c r="J59" s="282">
        <f t="shared" si="24"/>
        <v>0</v>
      </c>
      <c r="K59" s="287" t="s">
        <v>73</v>
      </c>
      <c r="L59" s="283">
        <f>L27+L8</f>
        <v>17057864.85</v>
      </c>
    </row>
    <row r="60" ht="18.75" spans="1:11">
      <c r="A60" s="284" t="s">
        <v>133</v>
      </c>
      <c r="B60" s="284"/>
      <c r="C60" s="284"/>
      <c r="D60" s="284"/>
      <c r="E60" s="323"/>
      <c r="F60" s="323"/>
      <c r="G60" s="323"/>
      <c r="H60" s="323"/>
      <c r="I60" s="323"/>
      <c r="J60" s="323"/>
      <c r="K60" s="340"/>
    </row>
    <row r="61" ht="15.75" spans="1:11">
      <c r="A61" s="83"/>
      <c r="B61" s="84"/>
      <c r="C61" s="84"/>
      <c r="D61" s="84"/>
      <c r="E61" s="85">
        <f>E58+E59</f>
        <v>148232995.46</v>
      </c>
      <c r="F61" s="83"/>
      <c r="G61" s="83"/>
      <c r="H61" s="83"/>
      <c r="I61" s="83"/>
      <c r="J61" s="93"/>
      <c r="K61" s="93"/>
    </row>
    <row r="62" ht="15.75" spans="1:11">
      <c r="A62" s="83"/>
      <c r="B62" s="83"/>
      <c r="C62" s="83"/>
      <c r="D62" s="83"/>
      <c r="E62" s="83"/>
      <c r="F62" s="83"/>
      <c r="G62" s="83"/>
      <c r="H62" s="83"/>
      <c r="I62" s="83" t="s">
        <v>87</v>
      </c>
      <c r="J62" s="29"/>
      <c r="K62" s="29">
        <v>178063747.64</v>
      </c>
    </row>
    <row r="63" s="1" customFormat="1" ht="15.75" spans="1:12">
      <c r="A63" s="83"/>
      <c r="B63" s="83"/>
      <c r="C63" s="83"/>
      <c r="D63" s="83"/>
      <c r="E63" s="83"/>
      <c r="F63" s="83"/>
      <c r="G63" s="83"/>
      <c r="H63" s="83"/>
      <c r="I63" s="83" t="s">
        <v>88</v>
      </c>
      <c r="J63" s="29"/>
      <c r="K63" s="29">
        <v>506829756.46</v>
      </c>
      <c r="L63" s="85"/>
    </row>
    <row r="64" s="1" customFormat="1" ht="15.75" spans="1:12">
      <c r="A64" s="83"/>
      <c r="B64" s="83"/>
      <c r="C64" s="83"/>
      <c r="D64" s="83"/>
      <c r="E64" s="83"/>
      <c r="F64" s="83"/>
      <c r="G64" s="83"/>
      <c r="H64" s="83"/>
      <c r="I64" s="83" t="s">
        <v>123</v>
      </c>
      <c r="J64" s="29"/>
      <c r="K64" s="29">
        <f>F55+G55+H55</f>
        <v>639101387.56</v>
      </c>
      <c r="L64" s="85"/>
    </row>
    <row r="65" s="1" customFormat="1" ht="15.75" spans="1:12">
      <c r="A65" s="83"/>
      <c r="B65" s="83"/>
      <c r="C65" s="83"/>
      <c r="D65" s="83"/>
      <c r="E65" s="85">
        <f>L55</f>
        <v>14709379.52</v>
      </c>
      <c r="F65" s="83"/>
      <c r="G65" s="83"/>
      <c r="H65" s="83"/>
      <c r="I65" s="83" t="s">
        <v>124</v>
      </c>
      <c r="J65" s="29"/>
      <c r="K65" s="29">
        <f>I55+J55</f>
        <v>79993526.69</v>
      </c>
      <c r="L65" s="85"/>
    </row>
    <row r="66" ht="15.75" spans="9:11">
      <c r="I66" s="83"/>
      <c r="J66" s="29"/>
      <c r="K66" s="421">
        <f>K62+K63+K64+K65</f>
        <v>1403988418.35</v>
      </c>
    </row>
    <row r="79" s="2" customFormat="1" spans="1:14">
      <c r="A79" s="3"/>
      <c r="B79" s="3"/>
      <c r="C79" s="3"/>
      <c r="D79" s="3"/>
      <c r="E79" s="3"/>
      <c r="F79" s="3"/>
      <c r="G79" s="3"/>
      <c r="H79" s="3"/>
      <c r="I79" s="3"/>
      <c r="J79" s="3"/>
      <c r="K79" s="4" t="s">
        <v>125</v>
      </c>
      <c r="M79" s="8"/>
      <c r="N79" s="8"/>
    </row>
  </sheetData>
  <mergeCells count="25">
    <mergeCell ref="B22:K22"/>
    <mergeCell ref="B47:K47"/>
    <mergeCell ref="A60:D60"/>
    <mergeCell ref="A4:A7"/>
    <mergeCell ref="A9:A16"/>
    <mergeCell ref="A17:A20"/>
    <mergeCell ref="A23:A27"/>
    <mergeCell ref="A28:A30"/>
    <mergeCell ref="A31:A34"/>
    <mergeCell ref="A35:A37"/>
    <mergeCell ref="A38:A42"/>
    <mergeCell ref="A43:A46"/>
    <mergeCell ref="A48:A50"/>
    <mergeCell ref="A51:A54"/>
    <mergeCell ref="B4:B7"/>
    <mergeCell ref="B9:B16"/>
    <mergeCell ref="B17:B20"/>
    <mergeCell ref="B23:B27"/>
    <mergeCell ref="B28:B30"/>
    <mergeCell ref="B31:B34"/>
    <mergeCell ref="B35:B37"/>
    <mergeCell ref="B38:B42"/>
    <mergeCell ref="B43:B46"/>
    <mergeCell ref="B48:B50"/>
    <mergeCell ref="B51:B54"/>
  </mergeCells>
  <pageMargins left="0.118110236220472" right="0.118110236220472" top="0.15748031496063" bottom="0.15748031496063" header="0.31496062992126" footer="0.31496062992126"/>
  <pageSetup paperSize="9" scale="73" fitToHeight="0" orientation="portrait" blackAndWhite="1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81"/>
  <sheetViews>
    <sheetView workbookViewId="0">
      <pane ySplit="2" topLeftCell="A3" activePane="bottomLeft" state="frozen"/>
      <selection/>
      <selection pane="bottomLeft" activeCell="A1" sqref="A1:A2"/>
    </sheetView>
  </sheetViews>
  <sheetFormatPr defaultColWidth="39" defaultRowHeight="15"/>
  <cols>
    <col min="1" max="1" width="7.85714285714286" style="3" customWidth="1"/>
    <col min="2" max="2" width="38.4285714285714" style="3" customWidth="1"/>
    <col min="3" max="3" width="7.57142857142857" style="3" customWidth="1"/>
    <col min="4" max="4" width="7.71428571428571" style="3" customWidth="1"/>
    <col min="5" max="5" width="16.1428571428571" style="3" customWidth="1"/>
    <col min="6" max="6" width="15.4285714285714" style="3" customWidth="1"/>
    <col min="7" max="7" width="15.8571428571429" style="3" customWidth="1"/>
    <col min="8" max="9" width="14.2857142857143" style="3" customWidth="1"/>
    <col min="10" max="10" width="7.57142857142857" style="3" customWidth="1"/>
    <col min="11" max="11" width="7.71428571428571" style="3" customWidth="1"/>
    <col min="12" max="12" width="7.42857142857143" style="3" customWidth="1"/>
    <col min="13" max="13" width="7.85714285714286" style="3" customWidth="1"/>
    <col min="14" max="14" width="9.85714285714286" style="4" customWidth="1"/>
    <col min="15" max="15" width="11.1428571428571" style="8" customWidth="1"/>
    <col min="16" max="16" width="10.5714285714286" style="8" customWidth="1"/>
    <col min="17" max="16384" width="39" style="8"/>
  </cols>
  <sheetData>
    <row r="1" spans="1:15">
      <c r="A1" s="292" t="s">
        <v>134</v>
      </c>
      <c r="B1" s="293" t="s">
        <v>135</v>
      </c>
      <c r="C1" s="294" t="s">
        <v>136</v>
      </c>
      <c r="D1" s="295" t="s">
        <v>137</v>
      </c>
      <c r="E1" s="57" t="s">
        <v>138</v>
      </c>
      <c r="F1" s="57"/>
      <c r="G1" s="57"/>
      <c r="H1" s="57"/>
      <c r="I1" s="57"/>
      <c r="J1" s="57"/>
      <c r="K1" s="57"/>
      <c r="L1" s="57"/>
      <c r="M1" s="57"/>
      <c r="N1" s="324" t="s">
        <v>139</v>
      </c>
      <c r="O1" s="325" t="s">
        <v>140</v>
      </c>
    </row>
    <row r="2" ht="58.5" customHeight="1" spans="1:16">
      <c r="A2" s="296"/>
      <c r="B2" s="297"/>
      <c r="C2" s="298"/>
      <c r="D2" s="299"/>
      <c r="E2" s="75" t="s">
        <v>141</v>
      </c>
      <c r="F2" s="46">
        <v>2023</v>
      </c>
      <c r="G2" s="46">
        <v>2024</v>
      </c>
      <c r="H2" s="46">
        <v>2025</v>
      </c>
      <c r="I2" s="46">
        <v>2026</v>
      </c>
      <c r="J2" s="46">
        <v>2027</v>
      </c>
      <c r="K2" s="46">
        <v>2028</v>
      </c>
      <c r="L2" s="46">
        <v>2029</v>
      </c>
      <c r="M2" s="46">
        <v>2030</v>
      </c>
      <c r="N2" s="326"/>
      <c r="O2" s="327"/>
      <c r="P2" s="328" t="s">
        <v>142</v>
      </c>
    </row>
    <row r="3" spans="1:15">
      <c r="A3" s="300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  <c r="I3" s="19">
        <v>9</v>
      </c>
      <c r="J3" s="19">
        <v>10</v>
      </c>
      <c r="K3" s="19">
        <v>11</v>
      </c>
      <c r="L3" s="19">
        <v>12</v>
      </c>
      <c r="M3" s="19">
        <v>13</v>
      </c>
      <c r="N3" s="58">
        <v>14</v>
      </c>
      <c r="O3" s="58">
        <v>15</v>
      </c>
    </row>
    <row r="4" s="1" customFormat="1" ht="18.75" spans="1:15">
      <c r="A4" s="301" t="s">
        <v>6</v>
      </c>
      <c r="B4" s="237" t="s">
        <v>7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</row>
    <row r="5" s="1" customFormat="1" ht="15.75" customHeight="1" spans="1:15">
      <c r="A5" s="302" t="s">
        <v>8</v>
      </c>
      <c r="B5" s="303" t="s">
        <v>143</v>
      </c>
      <c r="C5" s="304" t="s">
        <v>144</v>
      </c>
      <c r="D5" s="304" t="s">
        <v>144</v>
      </c>
      <c r="E5" s="116">
        <f>F5+G5+H5+I5+J5</f>
        <v>262891004.12</v>
      </c>
      <c r="F5" s="118">
        <f>SUM(F6:F9)</f>
        <v>164564076.58</v>
      </c>
      <c r="G5" s="118">
        <f>SUM(G6:G9)</f>
        <v>98326927.54</v>
      </c>
      <c r="H5" s="118">
        <f t="shared" ref="H5:M5" si="0">SUM(H6:H9)</f>
        <v>0</v>
      </c>
      <c r="I5" s="118">
        <f t="shared" si="0"/>
        <v>0</v>
      </c>
      <c r="J5" s="118">
        <f t="shared" si="0"/>
        <v>0</v>
      </c>
      <c r="K5" s="118">
        <f t="shared" si="0"/>
        <v>0</v>
      </c>
      <c r="L5" s="118">
        <f t="shared" si="0"/>
        <v>0</v>
      </c>
      <c r="M5" s="118">
        <f t="shared" si="0"/>
        <v>0</v>
      </c>
      <c r="N5" s="127" t="s">
        <v>144</v>
      </c>
      <c r="O5" s="329" t="s">
        <v>144</v>
      </c>
    </row>
    <row r="6" s="1" customFormat="1" ht="15.75" spans="1:15">
      <c r="A6" s="305"/>
      <c r="B6" s="306"/>
      <c r="C6" s="307"/>
      <c r="D6" s="307"/>
      <c r="E6" s="116">
        <f t="shared" ref="E6:E13" si="1">SUM(F6:J6)</f>
        <v>178080756.49</v>
      </c>
      <c r="F6" s="118">
        <f>F11+F12+F19+F20</f>
        <v>141479117.43</v>
      </c>
      <c r="G6" s="118">
        <f>G11+G12+G19+G20</f>
        <v>36601639.06</v>
      </c>
      <c r="H6" s="118">
        <f t="shared" ref="H6:M6" si="2">H11+H12+H19+H20</f>
        <v>0</v>
      </c>
      <c r="I6" s="118">
        <f t="shared" si="2"/>
        <v>0</v>
      </c>
      <c r="J6" s="118">
        <f t="shared" si="2"/>
        <v>0</v>
      </c>
      <c r="K6" s="118">
        <f t="shared" si="2"/>
        <v>0</v>
      </c>
      <c r="L6" s="118">
        <f t="shared" si="2"/>
        <v>0</v>
      </c>
      <c r="M6" s="118">
        <f t="shared" si="2"/>
        <v>0</v>
      </c>
      <c r="N6" s="127" t="s">
        <v>78</v>
      </c>
      <c r="O6" s="329"/>
    </row>
    <row r="7" s="1" customFormat="1" ht="15.75" spans="1:15">
      <c r="A7" s="305"/>
      <c r="B7" s="306"/>
      <c r="C7" s="307"/>
      <c r="D7" s="307"/>
      <c r="E7" s="116">
        <f t="shared" si="1"/>
        <v>1471035.85</v>
      </c>
      <c r="F7" s="118">
        <f>F13+F14</f>
        <v>724063.62</v>
      </c>
      <c r="G7" s="118">
        <f>G13+G14</f>
        <v>746972.23</v>
      </c>
      <c r="H7" s="118">
        <f t="shared" ref="H7:M7" si="3">H13+H14</f>
        <v>0</v>
      </c>
      <c r="I7" s="118">
        <f t="shared" si="3"/>
        <v>0</v>
      </c>
      <c r="J7" s="118">
        <f t="shared" si="3"/>
        <v>0</v>
      </c>
      <c r="K7" s="118">
        <f t="shared" si="3"/>
        <v>0</v>
      </c>
      <c r="L7" s="118">
        <f t="shared" si="3"/>
        <v>0</v>
      </c>
      <c r="M7" s="118">
        <f t="shared" si="3"/>
        <v>0</v>
      </c>
      <c r="N7" s="127" t="s">
        <v>71</v>
      </c>
      <c r="O7" s="329"/>
    </row>
    <row r="8" s="1" customFormat="1" ht="15.75" spans="1:15">
      <c r="A8" s="305"/>
      <c r="B8" s="306"/>
      <c r="C8" s="307"/>
      <c r="D8" s="307"/>
      <c r="E8" s="116">
        <f t="shared" si="1"/>
        <v>369607</v>
      </c>
      <c r="F8" s="118">
        <f>F15+F16</f>
        <v>181925.53</v>
      </c>
      <c r="G8" s="118">
        <f>G15+G16</f>
        <v>187681.47</v>
      </c>
      <c r="H8" s="118">
        <f t="shared" ref="H8:M8" si="4">H15+H16</f>
        <v>0</v>
      </c>
      <c r="I8" s="118">
        <f t="shared" si="4"/>
        <v>0</v>
      </c>
      <c r="J8" s="118">
        <f t="shared" si="4"/>
        <v>0</v>
      </c>
      <c r="K8" s="118">
        <f t="shared" si="4"/>
        <v>0</v>
      </c>
      <c r="L8" s="118">
        <f t="shared" si="4"/>
        <v>0</v>
      </c>
      <c r="M8" s="118">
        <f t="shared" si="4"/>
        <v>0</v>
      </c>
      <c r="N8" s="127" t="s">
        <v>16</v>
      </c>
      <c r="O8" s="329"/>
    </row>
    <row r="9" s="1" customFormat="1" ht="15.75" spans="1:15">
      <c r="A9" s="305"/>
      <c r="B9" s="308"/>
      <c r="C9" s="309"/>
      <c r="D9" s="309"/>
      <c r="E9" s="116">
        <f t="shared" si="1"/>
        <v>82969604.78</v>
      </c>
      <c r="F9" s="118">
        <f>F21+F22</f>
        <v>22178970</v>
      </c>
      <c r="G9" s="118">
        <f>G21+G22+G17</f>
        <v>60790634.78</v>
      </c>
      <c r="H9" s="118">
        <f t="shared" ref="H9:M9" si="5">H21+H22+H17</f>
        <v>0</v>
      </c>
      <c r="I9" s="118">
        <f t="shared" si="5"/>
        <v>0</v>
      </c>
      <c r="J9" s="118">
        <f t="shared" si="5"/>
        <v>0</v>
      </c>
      <c r="K9" s="118">
        <f t="shared" si="5"/>
        <v>0</v>
      </c>
      <c r="L9" s="118">
        <f t="shared" si="5"/>
        <v>0</v>
      </c>
      <c r="M9" s="118">
        <f t="shared" si="5"/>
        <v>0</v>
      </c>
      <c r="N9" s="127" t="s">
        <v>73</v>
      </c>
      <c r="O9" s="329"/>
    </row>
    <row r="10" s="1" customFormat="1" ht="15.75" spans="1:15">
      <c r="A10" s="302" t="s">
        <v>11</v>
      </c>
      <c r="B10" s="123" t="s">
        <v>79</v>
      </c>
      <c r="C10" s="303" t="s">
        <v>145</v>
      </c>
      <c r="D10" s="303" t="s">
        <v>123</v>
      </c>
      <c r="E10" s="116">
        <f t="shared" si="1"/>
        <v>94314714.12</v>
      </c>
      <c r="F10" s="118">
        <f>F11+F12+F13+F14+F15+F17</f>
        <v>36385106.58</v>
      </c>
      <c r="G10" s="118">
        <f>G11+G12+G13+G14+G15+G17+G16</f>
        <v>57929607.54</v>
      </c>
      <c r="H10" s="118">
        <f t="shared" ref="H10:M10" si="6">H11+H12+H13+H14+H15+H17+H16</f>
        <v>0</v>
      </c>
      <c r="I10" s="118">
        <f t="shared" si="6"/>
        <v>0</v>
      </c>
      <c r="J10" s="118">
        <f t="shared" si="6"/>
        <v>0</v>
      </c>
      <c r="K10" s="118">
        <f t="shared" si="6"/>
        <v>0</v>
      </c>
      <c r="L10" s="118">
        <f t="shared" si="6"/>
        <v>0</v>
      </c>
      <c r="M10" s="118">
        <f t="shared" si="6"/>
        <v>0</v>
      </c>
      <c r="N10" s="127" t="s">
        <v>144</v>
      </c>
      <c r="O10" s="329" t="s">
        <v>144</v>
      </c>
    </row>
    <row r="11" s="1" customFormat="1" ht="15.75" spans="1:15">
      <c r="A11" s="305"/>
      <c r="B11" s="123"/>
      <c r="C11" s="306"/>
      <c r="D11" s="306"/>
      <c r="E11" s="116">
        <f t="shared" si="1"/>
        <v>72080756.49</v>
      </c>
      <c r="F11" s="120">
        <v>35479117.43</v>
      </c>
      <c r="G11" s="120">
        <v>36601639.06</v>
      </c>
      <c r="H11" s="232">
        <v>0</v>
      </c>
      <c r="I11" s="232">
        <v>0</v>
      </c>
      <c r="J11" s="232">
        <v>0</v>
      </c>
      <c r="K11" s="232">
        <v>0</v>
      </c>
      <c r="L11" s="232">
        <v>0</v>
      </c>
      <c r="M11" s="232">
        <v>0</v>
      </c>
      <c r="N11" s="127" t="s">
        <v>78</v>
      </c>
      <c r="O11" s="329" t="s">
        <v>105</v>
      </c>
    </row>
    <row r="12" s="1" customFormat="1" ht="15.75" spans="1:15">
      <c r="A12" s="305"/>
      <c r="B12" s="123"/>
      <c r="C12" s="306"/>
      <c r="D12" s="306"/>
      <c r="E12" s="116">
        <f t="shared" si="1"/>
        <v>0</v>
      </c>
      <c r="F12" s="120">
        <v>0</v>
      </c>
      <c r="G12" s="120">
        <v>0</v>
      </c>
      <c r="H12" s="120">
        <v>0</v>
      </c>
      <c r="I12" s="120">
        <v>0</v>
      </c>
      <c r="J12" s="120">
        <v>0</v>
      </c>
      <c r="K12" s="120">
        <v>0</v>
      </c>
      <c r="L12" s="120">
        <v>0</v>
      </c>
      <c r="M12" s="120">
        <v>0</v>
      </c>
      <c r="N12" s="127" t="s">
        <v>78</v>
      </c>
      <c r="O12" s="329" t="s">
        <v>146</v>
      </c>
    </row>
    <row r="13" s="1" customFormat="1" ht="15.75" spans="1:15">
      <c r="A13" s="305"/>
      <c r="B13" s="123"/>
      <c r="C13" s="306"/>
      <c r="D13" s="306"/>
      <c r="E13" s="116">
        <f t="shared" si="1"/>
        <v>1471035.85</v>
      </c>
      <c r="F13" s="120">
        <v>724063.62</v>
      </c>
      <c r="G13" s="120">
        <v>746972.23</v>
      </c>
      <c r="H13" s="120">
        <v>0</v>
      </c>
      <c r="I13" s="120">
        <v>0</v>
      </c>
      <c r="J13" s="120">
        <v>0</v>
      </c>
      <c r="K13" s="120">
        <v>0</v>
      </c>
      <c r="L13" s="120">
        <v>0</v>
      </c>
      <c r="M13" s="120">
        <v>0</v>
      </c>
      <c r="N13" s="127" t="s">
        <v>71</v>
      </c>
      <c r="O13" s="329" t="s">
        <v>105</v>
      </c>
    </row>
    <row r="14" s="1" customFormat="1" ht="15.75" spans="1:15">
      <c r="A14" s="305"/>
      <c r="B14" s="123"/>
      <c r="C14" s="306"/>
      <c r="D14" s="306"/>
      <c r="E14" s="116">
        <f t="shared" ref="E14:E22" si="7">SUM(F14:J14)</f>
        <v>0</v>
      </c>
      <c r="F14" s="120">
        <v>0</v>
      </c>
      <c r="G14" s="120">
        <v>0</v>
      </c>
      <c r="H14" s="120">
        <v>0</v>
      </c>
      <c r="I14" s="120">
        <v>0</v>
      </c>
      <c r="J14" s="120">
        <v>0</v>
      </c>
      <c r="K14" s="120">
        <v>0</v>
      </c>
      <c r="L14" s="120">
        <v>0</v>
      </c>
      <c r="M14" s="120">
        <v>0</v>
      </c>
      <c r="N14" s="127" t="s">
        <v>71</v>
      </c>
      <c r="O14" s="329" t="s">
        <v>146</v>
      </c>
    </row>
    <row r="15" s="1" customFormat="1" ht="15.75" spans="1:15">
      <c r="A15" s="305"/>
      <c r="B15" s="123"/>
      <c r="C15" s="306"/>
      <c r="D15" s="306"/>
      <c r="E15" s="116">
        <f t="shared" si="7"/>
        <v>369607</v>
      </c>
      <c r="F15" s="120">
        <v>181925.53</v>
      </c>
      <c r="G15" s="120">
        <v>187681.47</v>
      </c>
      <c r="H15" s="120">
        <v>0</v>
      </c>
      <c r="I15" s="120">
        <v>0</v>
      </c>
      <c r="J15" s="120">
        <v>0</v>
      </c>
      <c r="K15" s="120">
        <v>0</v>
      </c>
      <c r="L15" s="120">
        <v>0</v>
      </c>
      <c r="M15" s="120">
        <v>0</v>
      </c>
      <c r="N15" s="127" t="s">
        <v>16</v>
      </c>
      <c r="O15" s="329" t="s">
        <v>105</v>
      </c>
    </row>
    <row r="16" s="1" customFormat="1" ht="15.75" spans="1:15">
      <c r="A16" s="305"/>
      <c r="B16" s="123"/>
      <c r="C16" s="306"/>
      <c r="D16" s="306"/>
      <c r="E16" s="116">
        <f t="shared" si="7"/>
        <v>0</v>
      </c>
      <c r="F16" s="120">
        <v>0</v>
      </c>
      <c r="G16" s="120">
        <v>0</v>
      </c>
      <c r="H16" s="120">
        <v>0</v>
      </c>
      <c r="I16" s="120">
        <v>0</v>
      </c>
      <c r="J16" s="120">
        <v>0</v>
      </c>
      <c r="K16" s="120">
        <v>0</v>
      </c>
      <c r="L16" s="120">
        <v>0</v>
      </c>
      <c r="M16" s="120">
        <v>0</v>
      </c>
      <c r="N16" s="127" t="s">
        <v>147</v>
      </c>
      <c r="O16" s="329" t="s">
        <v>146</v>
      </c>
    </row>
    <row r="17" s="1" customFormat="1" ht="15.75" spans="1:15">
      <c r="A17" s="310"/>
      <c r="B17" s="123"/>
      <c r="C17" s="308"/>
      <c r="D17" s="308"/>
      <c r="E17" s="116">
        <f t="shared" si="7"/>
        <v>20393314.78</v>
      </c>
      <c r="F17" s="120">
        <v>0</v>
      </c>
      <c r="G17" s="120">
        <f>269532.53+12123782.25+8000000</f>
        <v>20393314.78</v>
      </c>
      <c r="H17" s="120">
        <v>0</v>
      </c>
      <c r="I17" s="120">
        <v>0</v>
      </c>
      <c r="J17" s="120">
        <v>0</v>
      </c>
      <c r="K17" s="120">
        <v>0</v>
      </c>
      <c r="L17" s="120">
        <v>0</v>
      </c>
      <c r="M17" s="120">
        <v>0</v>
      </c>
      <c r="N17" s="127" t="s">
        <v>73</v>
      </c>
      <c r="O17" s="329" t="s">
        <v>105</v>
      </c>
    </row>
    <row r="18" s="1" customFormat="1" ht="15.75" customHeight="1" spans="1:15">
      <c r="A18" s="302" t="s">
        <v>91</v>
      </c>
      <c r="B18" s="311" t="s">
        <v>148</v>
      </c>
      <c r="C18" s="303" t="s">
        <v>149</v>
      </c>
      <c r="D18" s="303" t="s">
        <v>150</v>
      </c>
      <c r="E18" s="116">
        <f t="shared" si="7"/>
        <v>168576290</v>
      </c>
      <c r="F18" s="120">
        <f>F19+F20+F21+F22</f>
        <v>128178970</v>
      </c>
      <c r="G18" s="120">
        <f>G19+G20+G21+G22</f>
        <v>40397320</v>
      </c>
      <c r="H18" s="120">
        <f t="shared" ref="H18:J18" si="8">H19+H20+H21+H22</f>
        <v>0</v>
      </c>
      <c r="I18" s="120">
        <f t="shared" si="8"/>
        <v>0</v>
      </c>
      <c r="J18" s="120">
        <f t="shared" si="8"/>
        <v>0</v>
      </c>
      <c r="K18" s="120">
        <f t="shared" ref="K18:K24" si="9">K19+K20+K21+K22</f>
        <v>0</v>
      </c>
      <c r="L18" s="120">
        <f t="shared" ref="L18:L24" si="10">L19+L20+L21+L22</f>
        <v>0</v>
      </c>
      <c r="M18" s="120">
        <f t="shared" ref="M18:M24" si="11">M19+M20+M21+M22</f>
        <v>0</v>
      </c>
      <c r="N18" s="127" t="s">
        <v>144</v>
      </c>
      <c r="O18" s="329" t="s">
        <v>144</v>
      </c>
    </row>
    <row r="19" s="1" customFormat="1" ht="15.75" spans="1:15">
      <c r="A19" s="305"/>
      <c r="B19" s="312"/>
      <c r="C19" s="306"/>
      <c r="D19" s="306"/>
      <c r="E19" s="116">
        <f t="shared" si="7"/>
        <v>63133615.4</v>
      </c>
      <c r="F19" s="120">
        <f>106000000-37799322.82-5067061.78</f>
        <v>63133615.4</v>
      </c>
      <c r="G19" s="120">
        <v>0</v>
      </c>
      <c r="H19" s="120">
        <v>0</v>
      </c>
      <c r="I19" s="120">
        <v>0</v>
      </c>
      <c r="J19" s="120">
        <v>0</v>
      </c>
      <c r="K19" s="120">
        <v>0</v>
      </c>
      <c r="L19" s="120">
        <v>0</v>
      </c>
      <c r="M19" s="120">
        <v>0</v>
      </c>
      <c r="N19" s="127" t="s">
        <v>78</v>
      </c>
      <c r="O19" s="329" t="s">
        <v>151</v>
      </c>
    </row>
    <row r="20" s="1" customFormat="1" ht="15.75" spans="1:15">
      <c r="A20" s="305"/>
      <c r="B20" s="312"/>
      <c r="C20" s="306"/>
      <c r="D20" s="306"/>
      <c r="E20" s="116">
        <f t="shared" si="7"/>
        <v>42866384.6</v>
      </c>
      <c r="F20" s="120">
        <f>37799322.82+5067061.78</f>
        <v>42866384.6</v>
      </c>
      <c r="G20" s="120">
        <v>0</v>
      </c>
      <c r="H20" s="120">
        <v>0</v>
      </c>
      <c r="I20" s="120">
        <v>0</v>
      </c>
      <c r="J20" s="120">
        <v>0</v>
      </c>
      <c r="K20" s="120">
        <v>0</v>
      </c>
      <c r="L20" s="120">
        <v>0</v>
      </c>
      <c r="M20" s="120">
        <v>0</v>
      </c>
      <c r="N20" s="127" t="s">
        <v>78</v>
      </c>
      <c r="O20" s="329" t="s">
        <v>152</v>
      </c>
    </row>
    <row r="21" s="1" customFormat="1" ht="19.5" customHeight="1" spans="1:15">
      <c r="A21" s="305"/>
      <c r="B21" s="312"/>
      <c r="C21" s="306"/>
      <c r="D21" s="306"/>
      <c r="E21" s="116">
        <f t="shared" si="7"/>
        <v>23153432.89</v>
      </c>
      <c r="F21" s="120">
        <f>(22776970-598000)-1422857.11</f>
        <v>20756112.89</v>
      </c>
      <c r="G21" s="120">
        <v>2397320</v>
      </c>
      <c r="H21" s="120">
        <v>0</v>
      </c>
      <c r="I21" s="120">
        <v>0</v>
      </c>
      <c r="J21" s="120">
        <v>0</v>
      </c>
      <c r="K21" s="120">
        <v>0</v>
      </c>
      <c r="L21" s="120">
        <v>0</v>
      </c>
      <c r="M21" s="120">
        <v>0</v>
      </c>
      <c r="N21" s="127" t="s">
        <v>73</v>
      </c>
      <c r="O21" s="329" t="s">
        <v>151</v>
      </c>
    </row>
    <row r="22" s="1" customFormat="1" ht="16.5" customHeight="1" spans="1:15">
      <c r="A22" s="313"/>
      <c r="B22" s="314"/>
      <c r="C22" s="308"/>
      <c r="D22" s="306"/>
      <c r="E22" s="116">
        <f t="shared" si="7"/>
        <v>39422857.11</v>
      </c>
      <c r="F22" s="120">
        <v>1422857.11</v>
      </c>
      <c r="G22" s="120">
        <v>38000000</v>
      </c>
      <c r="H22" s="120">
        <v>0</v>
      </c>
      <c r="I22" s="120">
        <v>0</v>
      </c>
      <c r="J22" s="120">
        <v>0</v>
      </c>
      <c r="K22" s="120">
        <v>0</v>
      </c>
      <c r="L22" s="120">
        <v>0</v>
      </c>
      <c r="M22" s="120">
        <v>0</v>
      </c>
      <c r="N22" s="127" t="s">
        <v>73</v>
      </c>
      <c r="O22" s="329" t="s">
        <v>152</v>
      </c>
    </row>
    <row r="23" ht="18.75" spans="1:15">
      <c r="A23" s="315" t="s">
        <v>36</v>
      </c>
      <c r="B23" s="237" t="s">
        <v>37</v>
      </c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</row>
    <row r="24" spans="1:15">
      <c r="A24" s="316" t="s">
        <v>38</v>
      </c>
      <c r="B24" s="124" t="s">
        <v>153</v>
      </c>
      <c r="C24" s="304" t="s">
        <v>144</v>
      </c>
      <c r="D24" s="304" t="s">
        <v>144</v>
      </c>
      <c r="E24" s="116">
        <f>F24+G24+H24+I24+J24+K24+L24+M24</f>
        <v>435344971.5</v>
      </c>
      <c r="F24" s="116">
        <f>F25+F26+F27+F28</f>
        <v>138310399.39</v>
      </c>
      <c r="G24" s="116">
        <f t="shared" ref="G24:J24" si="12">G25+G26+G27+G28</f>
        <v>137047518.73</v>
      </c>
      <c r="H24" s="116">
        <f t="shared" si="12"/>
        <v>79993526.69</v>
      </c>
      <c r="I24" s="116">
        <f t="shared" si="12"/>
        <v>79993526.69</v>
      </c>
      <c r="J24" s="116">
        <f t="shared" si="12"/>
        <v>0</v>
      </c>
      <c r="K24" s="116">
        <f t="shared" si="9"/>
        <v>0</v>
      </c>
      <c r="L24" s="116">
        <f t="shared" si="10"/>
        <v>0</v>
      </c>
      <c r="M24" s="116">
        <f t="shared" si="11"/>
        <v>0</v>
      </c>
      <c r="N24" s="127" t="s">
        <v>144</v>
      </c>
      <c r="O24" s="329" t="s">
        <v>144</v>
      </c>
    </row>
    <row r="25" spans="1:15">
      <c r="A25" s="317"/>
      <c r="B25" s="124"/>
      <c r="C25" s="307"/>
      <c r="D25" s="307"/>
      <c r="E25" s="116">
        <f t="shared" ref="E25:E43" si="13">F25+G25+H25+I25+J25</f>
        <v>105382544.87</v>
      </c>
      <c r="F25" s="116">
        <f>F37+F40</f>
        <v>84818282.07</v>
      </c>
      <c r="G25" s="116">
        <f>G37+G40</f>
        <v>20564262.8</v>
      </c>
      <c r="H25" s="116">
        <f t="shared" ref="H25:I25" si="14">H37+H40</f>
        <v>0</v>
      </c>
      <c r="I25" s="116">
        <f t="shared" si="14"/>
        <v>0</v>
      </c>
      <c r="J25" s="116">
        <f t="shared" ref="J25:M25" si="15">J37</f>
        <v>0</v>
      </c>
      <c r="K25" s="116">
        <f t="shared" si="15"/>
        <v>0</v>
      </c>
      <c r="L25" s="116">
        <f t="shared" si="15"/>
        <v>0</v>
      </c>
      <c r="M25" s="116">
        <f t="shared" si="15"/>
        <v>0</v>
      </c>
      <c r="N25" s="116" t="s">
        <v>14</v>
      </c>
      <c r="O25" s="330"/>
    </row>
    <row r="26" spans="1:15">
      <c r="A26" s="317"/>
      <c r="B26" s="124"/>
      <c r="C26" s="307"/>
      <c r="D26" s="307"/>
      <c r="E26" s="116">
        <f t="shared" si="13"/>
        <v>265287582.34</v>
      </c>
      <c r="F26" s="116">
        <f>F30+F41</f>
        <v>32086740.83</v>
      </c>
      <c r="G26" s="116">
        <f>G30+G41</f>
        <v>78013399.73</v>
      </c>
      <c r="H26" s="116">
        <f t="shared" ref="H26:I26" si="16">H30+H41</f>
        <v>77593720.89</v>
      </c>
      <c r="I26" s="116">
        <f t="shared" si="16"/>
        <v>77593720.89</v>
      </c>
      <c r="J26" s="116">
        <f t="shared" ref="J26:M26" si="17">J30</f>
        <v>0</v>
      </c>
      <c r="K26" s="116">
        <f t="shared" si="17"/>
        <v>0</v>
      </c>
      <c r="L26" s="116">
        <f t="shared" si="17"/>
        <v>0</v>
      </c>
      <c r="M26" s="116">
        <f t="shared" si="17"/>
        <v>0</v>
      </c>
      <c r="N26" s="127" t="s">
        <v>15</v>
      </c>
      <c r="O26" s="330"/>
    </row>
    <row r="27" spans="1:16">
      <c r="A27" s="317"/>
      <c r="B27" s="124"/>
      <c r="C27" s="307"/>
      <c r="D27" s="307"/>
      <c r="E27" s="116">
        <f t="shared" si="13"/>
        <v>9260500.17</v>
      </c>
      <c r="F27" s="116">
        <f>F31+F38+F43</f>
        <v>1849123.76</v>
      </c>
      <c r="G27" s="116">
        <f>G31+G38+G42</f>
        <v>2611764.81</v>
      </c>
      <c r="H27" s="116">
        <f t="shared" ref="H27:I27" si="18">H31+H38+H43</f>
        <v>2399805.8</v>
      </c>
      <c r="I27" s="116">
        <f t="shared" si="18"/>
        <v>2399805.8</v>
      </c>
      <c r="J27" s="116">
        <f>J31+J38</f>
        <v>0</v>
      </c>
      <c r="K27" s="116">
        <f>K31+K38</f>
        <v>0</v>
      </c>
      <c r="L27" s="116">
        <f>L31+L38</f>
        <v>0</v>
      </c>
      <c r="M27" s="116">
        <f>M31+M38</f>
        <v>0</v>
      </c>
      <c r="N27" s="127" t="s">
        <v>16</v>
      </c>
      <c r="O27" s="331"/>
      <c r="P27" s="94"/>
    </row>
    <row r="28" spans="1:16">
      <c r="A28" s="318"/>
      <c r="B28" s="124"/>
      <c r="C28" s="309"/>
      <c r="D28" s="309"/>
      <c r="E28" s="116">
        <f t="shared" si="13"/>
        <v>55414344.12</v>
      </c>
      <c r="F28" s="116">
        <f>F44+F43</f>
        <v>19556252.73</v>
      </c>
      <c r="G28" s="116">
        <f t="shared" ref="G28:M28" si="19">G44+G43</f>
        <v>35858091.39</v>
      </c>
      <c r="H28" s="116">
        <f t="shared" si="19"/>
        <v>0</v>
      </c>
      <c r="I28" s="116">
        <f t="shared" si="19"/>
        <v>0</v>
      </c>
      <c r="J28" s="116">
        <f t="shared" si="19"/>
        <v>0</v>
      </c>
      <c r="K28" s="116">
        <f t="shared" si="19"/>
        <v>0</v>
      </c>
      <c r="L28" s="116">
        <f t="shared" si="19"/>
        <v>0</v>
      </c>
      <c r="M28" s="116">
        <f t="shared" si="19"/>
        <v>0</v>
      </c>
      <c r="N28" s="116" t="s">
        <v>17</v>
      </c>
      <c r="O28" s="331"/>
      <c r="P28" s="94"/>
    </row>
    <row r="29" ht="15.75" spans="1:16">
      <c r="A29" s="319" t="s">
        <v>40</v>
      </c>
      <c r="B29" s="123" t="s">
        <v>81</v>
      </c>
      <c r="C29" s="303" t="s">
        <v>154</v>
      </c>
      <c r="D29" s="304" t="s">
        <v>144</v>
      </c>
      <c r="E29" s="116">
        <f t="shared" si="13"/>
        <v>273059694.33</v>
      </c>
      <c r="F29" s="118">
        <f>SUM(F30:F31)</f>
        <v>33079114.26</v>
      </c>
      <c r="G29" s="118">
        <f t="shared" ref="G29:M29" si="20">SUM(G30:G31)</f>
        <v>79993526.69</v>
      </c>
      <c r="H29" s="118">
        <f t="shared" si="20"/>
        <v>79993526.69</v>
      </c>
      <c r="I29" s="118">
        <f t="shared" si="20"/>
        <v>79993526.69</v>
      </c>
      <c r="J29" s="118">
        <f t="shared" si="20"/>
        <v>0</v>
      </c>
      <c r="K29" s="118">
        <f t="shared" si="20"/>
        <v>0</v>
      </c>
      <c r="L29" s="118">
        <f t="shared" si="20"/>
        <v>0</v>
      </c>
      <c r="M29" s="118">
        <f t="shared" si="20"/>
        <v>0</v>
      </c>
      <c r="N29" s="127" t="s">
        <v>144</v>
      </c>
      <c r="O29" s="332" t="s">
        <v>155</v>
      </c>
      <c r="P29" s="94"/>
    </row>
    <row r="30" ht="15.75" spans="1:15">
      <c r="A30" s="320"/>
      <c r="B30" s="123"/>
      <c r="C30" s="306"/>
      <c r="D30" s="307"/>
      <c r="E30" s="116">
        <f t="shared" si="13"/>
        <v>264867903.5</v>
      </c>
      <c r="F30" s="120">
        <f t="shared" ref="F30:M30" si="21">F32+F33</f>
        <v>32086740.83</v>
      </c>
      <c r="G30" s="120">
        <f t="shared" si="21"/>
        <v>77593720.89</v>
      </c>
      <c r="H30" s="120">
        <f t="shared" si="21"/>
        <v>77593720.89</v>
      </c>
      <c r="I30" s="120">
        <f t="shared" si="21"/>
        <v>77593720.89</v>
      </c>
      <c r="J30" s="120">
        <f t="shared" si="21"/>
        <v>0</v>
      </c>
      <c r="K30" s="120">
        <f t="shared" si="21"/>
        <v>0</v>
      </c>
      <c r="L30" s="120">
        <f t="shared" si="21"/>
        <v>0</v>
      </c>
      <c r="M30" s="120">
        <f t="shared" si="21"/>
        <v>0</v>
      </c>
      <c r="N30" s="127" t="s">
        <v>15</v>
      </c>
      <c r="O30" s="333"/>
    </row>
    <row r="31" ht="19.5" customHeight="1" spans="1:15">
      <c r="A31" s="320"/>
      <c r="B31" s="123"/>
      <c r="C31" s="308"/>
      <c r="D31" s="309"/>
      <c r="E31" s="116">
        <f t="shared" si="13"/>
        <v>8191790.83</v>
      </c>
      <c r="F31" s="120">
        <f t="shared" ref="F31:M31" si="22">F34+F35</f>
        <v>992373.43</v>
      </c>
      <c r="G31" s="120">
        <f t="shared" si="22"/>
        <v>2399805.8</v>
      </c>
      <c r="H31" s="120">
        <f t="shared" si="22"/>
        <v>2399805.8</v>
      </c>
      <c r="I31" s="120">
        <f t="shared" si="22"/>
        <v>2399805.8</v>
      </c>
      <c r="J31" s="120">
        <f t="shared" si="22"/>
        <v>0</v>
      </c>
      <c r="K31" s="120">
        <f t="shared" si="22"/>
        <v>0</v>
      </c>
      <c r="L31" s="120">
        <f t="shared" si="22"/>
        <v>0</v>
      </c>
      <c r="M31" s="120">
        <f t="shared" si="22"/>
        <v>0</v>
      </c>
      <c r="N31" s="127" t="s">
        <v>16</v>
      </c>
      <c r="O31" s="334"/>
    </row>
    <row r="32" ht="15.75" customHeight="1" spans="1:15">
      <c r="A32" s="319" t="s">
        <v>42</v>
      </c>
      <c r="B32" s="123" t="s">
        <v>156</v>
      </c>
      <c r="C32" s="303" t="s">
        <v>154</v>
      </c>
      <c r="D32" s="303" t="s">
        <v>157</v>
      </c>
      <c r="E32" s="116">
        <f t="shared" si="13"/>
        <v>254182595.53</v>
      </c>
      <c r="F32" s="120">
        <f>26400000-3212200.47</f>
        <v>23187799.53</v>
      </c>
      <c r="G32" s="120">
        <v>75807354.22</v>
      </c>
      <c r="H32" s="120">
        <v>77593720.89</v>
      </c>
      <c r="I32" s="120">
        <v>77593720.89</v>
      </c>
      <c r="J32" s="120">
        <v>0</v>
      </c>
      <c r="K32" s="120">
        <v>0</v>
      </c>
      <c r="L32" s="120">
        <v>0</v>
      </c>
      <c r="M32" s="120">
        <v>0</v>
      </c>
      <c r="N32" s="127" t="s">
        <v>71</v>
      </c>
      <c r="O32" s="330" t="s">
        <v>105</v>
      </c>
    </row>
    <row r="33" ht="15.75" spans="1:15">
      <c r="A33" s="320"/>
      <c r="B33" s="123"/>
      <c r="C33" s="306"/>
      <c r="D33" s="306"/>
      <c r="E33" s="116">
        <f t="shared" si="13"/>
        <v>10685307.97</v>
      </c>
      <c r="F33" s="120">
        <f>5686740.83+3212200.47</f>
        <v>8898941.3</v>
      </c>
      <c r="G33" s="120">
        <v>1786366.67</v>
      </c>
      <c r="H33" s="120">
        <v>0</v>
      </c>
      <c r="I33" s="120">
        <v>0</v>
      </c>
      <c r="J33" s="120">
        <v>0</v>
      </c>
      <c r="K33" s="120">
        <v>0</v>
      </c>
      <c r="L33" s="120">
        <v>0</v>
      </c>
      <c r="M33" s="120">
        <v>0</v>
      </c>
      <c r="N33" s="127" t="s">
        <v>71</v>
      </c>
      <c r="O33" s="330" t="s">
        <v>146</v>
      </c>
    </row>
    <row r="34" ht="15.75" spans="1:15">
      <c r="A34" s="320"/>
      <c r="B34" s="123"/>
      <c r="C34" s="306"/>
      <c r="D34" s="306"/>
      <c r="E34" s="116">
        <f t="shared" si="13"/>
        <v>7861317.39</v>
      </c>
      <c r="F34" s="120">
        <f>816494.85-99346.41</f>
        <v>717148.44</v>
      </c>
      <c r="G34" s="120">
        <f>(2375317.99+24487.81)-55248.45</f>
        <v>2344557.35</v>
      </c>
      <c r="H34" s="120">
        <f>2375317.99+24487.81</f>
        <v>2399805.8</v>
      </c>
      <c r="I34" s="120">
        <f>2375317.99+24487.81</f>
        <v>2399805.8</v>
      </c>
      <c r="J34" s="120">
        <v>0</v>
      </c>
      <c r="K34" s="120">
        <v>0</v>
      </c>
      <c r="L34" s="120">
        <v>0</v>
      </c>
      <c r="M34" s="120">
        <v>0</v>
      </c>
      <c r="N34" s="127" t="s">
        <v>147</v>
      </c>
      <c r="O34" s="330" t="s">
        <v>105</v>
      </c>
    </row>
    <row r="35" ht="15.75" customHeight="1" spans="1:15">
      <c r="A35" s="320"/>
      <c r="B35" s="123"/>
      <c r="C35" s="308"/>
      <c r="D35" s="308"/>
      <c r="E35" s="116">
        <f t="shared" si="13"/>
        <v>330473.44</v>
      </c>
      <c r="F35" s="120">
        <f>175878.58+99346.41</f>
        <v>275224.99</v>
      </c>
      <c r="G35" s="120">
        <v>55248.45</v>
      </c>
      <c r="H35" s="120">
        <v>0</v>
      </c>
      <c r="I35" s="120">
        <v>0</v>
      </c>
      <c r="J35" s="120">
        <v>0</v>
      </c>
      <c r="K35" s="120">
        <v>0</v>
      </c>
      <c r="L35" s="120">
        <v>0</v>
      </c>
      <c r="M35" s="120">
        <v>0</v>
      </c>
      <c r="N35" s="127" t="s">
        <v>147</v>
      </c>
      <c r="O35" s="330" t="s">
        <v>146</v>
      </c>
    </row>
    <row r="36" ht="15.75" spans="1:15">
      <c r="A36" s="319" t="s">
        <v>48</v>
      </c>
      <c r="B36" s="123" t="s">
        <v>82</v>
      </c>
      <c r="C36" s="303" t="s">
        <v>158</v>
      </c>
      <c r="D36" s="303">
        <v>2023</v>
      </c>
      <c r="E36" s="116">
        <f t="shared" si="13"/>
        <v>85675032.4</v>
      </c>
      <c r="F36" s="118">
        <f>SUM(F37:F38)</f>
        <v>85675032.4</v>
      </c>
      <c r="G36" s="118">
        <f t="shared" ref="G36:M36" si="23">SUM(G37:G38)</f>
        <v>0</v>
      </c>
      <c r="H36" s="118">
        <f t="shared" si="23"/>
        <v>0</v>
      </c>
      <c r="I36" s="118">
        <f t="shared" si="23"/>
        <v>0</v>
      </c>
      <c r="J36" s="118">
        <f t="shared" si="23"/>
        <v>0</v>
      </c>
      <c r="K36" s="118">
        <f t="shared" si="23"/>
        <v>0</v>
      </c>
      <c r="L36" s="118">
        <f t="shared" si="23"/>
        <v>0</v>
      </c>
      <c r="M36" s="118">
        <f t="shared" si="23"/>
        <v>0</v>
      </c>
      <c r="N36" s="127" t="s">
        <v>144</v>
      </c>
      <c r="O36" s="329" t="s">
        <v>144</v>
      </c>
    </row>
    <row r="37" ht="15.75" spans="1:15">
      <c r="A37" s="320"/>
      <c r="B37" s="123"/>
      <c r="C37" s="306"/>
      <c r="D37" s="306"/>
      <c r="E37" s="116">
        <f t="shared" si="13"/>
        <v>84818282.07</v>
      </c>
      <c r="F37" s="120">
        <v>84818282.07</v>
      </c>
      <c r="G37" s="120">
        <v>0</v>
      </c>
      <c r="H37" s="120">
        <v>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27" t="s">
        <v>78</v>
      </c>
      <c r="O37" s="335" t="s">
        <v>105</v>
      </c>
    </row>
    <row r="38" ht="30.75" customHeight="1" spans="1:15">
      <c r="A38" s="320"/>
      <c r="B38" s="123"/>
      <c r="C38" s="308"/>
      <c r="D38" s="308"/>
      <c r="E38" s="116">
        <f t="shared" si="13"/>
        <v>856750.33</v>
      </c>
      <c r="F38" s="120">
        <v>856750.33</v>
      </c>
      <c r="G38" s="120">
        <v>0</v>
      </c>
      <c r="H38" s="120">
        <v>0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27" t="s">
        <v>147</v>
      </c>
      <c r="O38" s="336"/>
    </row>
    <row r="39" ht="15.75" spans="1:15">
      <c r="A39" s="319" t="s">
        <v>83</v>
      </c>
      <c r="B39" s="123" t="s">
        <v>127</v>
      </c>
      <c r="C39" s="303" t="s">
        <v>159</v>
      </c>
      <c r="D39" s="303">
        <v>2024</v>
      </c>
      <c r="E39" s="116">
        <f t="shared" si="13"/>
        <v>44975540.19</v>
      </c>
      <c r="F39" s="118">
        <f>SUM(F40:F43)</f>
        <v>0</v>
      </c>
      <c r="G39" s="118">
        <f t="shared" ref="G39:M39" si="24">SUM(G40:G43)</f>
        <v>44975540.19</v>
      </c>
      <c r="H39" s="118">
        <f t="shared" si="24"/>
        <v>0</v>
      </c>
      <c r="I39" s="118">
        <f t="shared" si="24"/>
        <v>0</v>
      </c>
      <c r="J39" s="118">
        <f t="shared" si="24"/>
        <v>0</v>
      </c>
      <c r="K39" s="118">
        <f t="shared" si="24"/>
        <v>0</v>
      </c>
      <c r="L39" s="118">
        <f t="shared" si="24"/>
        <v>0</v>
      </c>
      <c r="M39" s="118">
        <f t="shared" si="24"/>
        <v>0</v>
      </c>
      <c r="N39" s="127" t="s">
        <v>144</v>
      </c>
      <c r="O39" s="329" t="s">
        <v>144</v>
      </c>
    </row>
    <row r="40" ht="15.75" spans="1:15">
      <c r="A40" s="320"/>
      <c r="B40" s="123"/>
      <c r="C40" s="306"/>
      <c r="D40" s="306"/>
      <c r="E40" s="116">
        <f t="shared" si="13"/>
        <v>20564262.8</v>
      </c>
      <c r="F40" s="120">
        <v>0</v>
      </c>
      <c r="G40" s="120">
        <v>20564262.8</v>
      </c>
      <c r="H40" s="120">
        <v>0</v>
      </c>
      <c r="I40" s="120">
        <v>0</v>
      </c>
      <c r="J40" s="120">
        <v>0</v>
      </c>
      <c r="K40" s="120">
        <v>0</v>
      </c>
      <c r="L40" s="120">
        <v>0</v>
      </c>
      <c r="M40" s="120">
        <v>0</v>
      </c>
      <c r="N40" s="127" t="s">
        <v>78</v>
      </c>
      <c r="O40" s="337" t="s">
        <v>105</v>
      </c>
    </row>
    <row r="41" ht="15.75" spans="1:15">
      <c r="A41" s="320"/>
      <c r="B41" s="123"/>
      <c r="C41" s="306"/>
      <c r="D41" s="306"/>
      <c r="E41" s="116">
        <f t="shared" si="13"/>
        <v>419678.84</v>
      </c>
      <c r="F41" s="120">
        <v>0</v>
      </c>
      <c r="G41" s="120">
        <v>419678.84</v>
      </c>
      <c r="H41" s="120">
        <v>0</v>
      </c>
      <c r="I41" s="120">
        <v>0</v>
      </c>
      <c r="J41" s="120">
        <v>0</v>
      </c>
      <c r="K41" s="120">
        <v>0</v>
      </c>
      <c r="L41" s="120">
        <v>0</v>
      </c>
      <c r="M41" s="120">
        <v>0</v>
      </c>
      <c r="N41" s="127" t="s">
        <v>71</v>
      </c>
      <c r="O41" s="338"/>
    </row>
    <row r="42" ht="15.75" spans="1:15">
      <c r="A42" s="320"/>
      <c r="B42" s="123"/>
      <c r="C42" s="306"/>
      <c r="D42" s="306"/>
      <c r="E42" s="116">
        <f t="shared" si="13"/>
        <v>211959.01</v>
      </c>
      <c r="F42" s="120">
        <v>0</v>
      </c>
      <c r="G42" s="120">
        <v>211959.01</v>
      </c>
      <c r="H42" s="120">
        <v>0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127" t="s">
        <v>147</v>
      </c>
      <c r="O42" s="338"/>
    </row>
    <row r="43" ht="14.25" customHeight="1" spans="1:15">
      <c r="A43" s="320"/>
      <c r="B43" s="123"/>
      <c r="C43" s="308"/>
      <c r="D43" s="308"/>
      <c r="E43" s="116">
        <f t="shared" si="13"/>
        <v>23779639.54</v>
      </c>
      <c r="F43" s="120">
        <v>0</v>
      </c>
      <c r="G43" s="120">
        <f>27000000-1938360.46-1282000</f>
        <v>23779639.54</v>
      </c>
      <c r="H43" s="120">
        <v>0</v>
      </c>
      <c r="I43" s="120">
        <v>0</v>
      </c>
      <c r="J43" s="120">
        <v>0</v>
      </c>
      <c r="K43" s="120">
        <v>0</v>
      </c>
      <c r="L43" s="120">
        <v>0</v>
      </c>
      <c r="M43" s="120">
        <v>0</v>
      </c>
      <c r="N43" s="127" t="s">
        <v>73</v>
      </c>
      <c r="O43" s="339"/>
    </row>
    <row r="44" s="1" customFormat="1" ht="15.75" spans="1:15">
      <c r="A44" s="319" t="s">
        <v>128</v>
      </c>
      <c r="B44" s="123" t="s">
        <v>129</v>
      </c>
      <c r="C44" s="303" t="s">
        <v>145</v>
      </c>
      <c r="D44" s="303" t="s">
        <v>123</v>
      </c>
      <c r="E44" s="116">
        <f t="shared" ref="E44:E47" si="25">F44+G44+H44+I44+J44+K44+L44+M44</f>
        <v>31634704.58</v>
      </c>
      <c r="F44" s="120">
        <f>F46+F45+F47</f>
        <v>19556252.73</v>
      </c>
      <c r="G44" s="120">
        <f>G46+G45+G47</f>
        <v>12078451.85</v>
      </c>
      <c r="H44" s="120">
        <f t="shared" ref="H44:M44" si="26">H46+H45</f>
        <v>0</v>
      </c>
      <c r="I44" s="120">
        <f t="shared" si="26"/>
        <v>0</v>
      </c>
      <c r="J44" s="120">
        <f t="shared" si="26"/>
        <v>0</v>
      </c>
      <c r="K44" s="120">
        <f t="shared" si="26"/>
        <v>0</v>
      </c>
      <c r="L44" s="120">
        <f t="shared" si="26"/>
        <v>0</v>
      </c>
      <c r="M44" s="120">
        <f t="shared" si="26"/>
        <v>0</v>
      </c>
      <c r="N44" s="127" t="s">
        <v>144</v>
      </c>
      <c r="O44" s="329" t="s">
        <v>144</v>
      </c>
    </row>
    <row r="45" s="1" customFormat="1" ht="15.75" spans="1:15">
      <c r="A45" s="320"/>
      <c r="B45" s="123"/>
      <c r="C45" s="306"/>
      <c r="D45" s="306"/>
      <c r="E45" s="116">
        <f t="shared" si="25"/>
        <v>23216344.12</v>
      </c>
      <c r="F45" s="120">
        <v>14358252.73</v>
      </c>
      <c r="G45" s="120">
        <f>1749443.35+249648.04+6859000</f>
        <v>8858091.39</v>
      </c>
      <c r="H45" s="120">
        <v>0</v>
      </c>
      <c r="I45" s="120">
        <v>0</v>
      </c>
      <c r="J45" s="120">
        <v>0</v>
      </c>
      <c r="K45" s="120">
        <v>0</v>
      </c>
      <c r="L45" s="120">
        <v>0</v>
      </c>
      <c r="M45" s="120">
        <v>0</v>
      </c>
      <c r="N45" s="127" t="s">
        <v>73</v>
      </c>
      <c r="O45" s="329" t="s">
        <v>105</v>
      </c>
    </row>
    <row r="46" s="1" customFormat="1" ht="15.75" spans="1:15">
      <c r="A46" s="320"/>
      <c r="B46" s="123"/>
      <c r="C46" s="306"/>
      <c r="D46" s="306"/>
      <c r="E46" s="116">
        <f t="shared" si="25"/>
        <v>6538360.46</v>
      </c>
      <c r="F46" s="120">
        <v>4600000</v>
      </c>
      <c r="G46" s="120">
        <v>1938360.46</v>
      </c>
      <c r="H46" s="120">
        <v>0</v>
      </c>
      <c r="I46" s="120">
        <v>0</v>
      </c>
      <c r="J46" s="120">
        <v>0</v>
      </c>
      <c r="K46" s="120">
        <v>0</v>
      </c>
      <c r="L46" s="120">
        <v>0</v>
      </c>
      <c r="M46" s="120">
        <v>0</v>
      </c>
      <c r="N46" s="127" t="s">
        <v>73</v>
      </c>
      <c r="O46" s="329" t="s">
        <v>146</v>
      </c>
    </row>
    <row r="47" s="1" customFormat="1" ht="15.75" spans="1:15">
      <c r="A47" s="320"/>
      <c r="B47" s="123"/>
      <c r="C47" s="308"/>
      <c r="D47" s="308"/>
      <c r="E47" s="116">
        <f t="shared" si="25"/>
        <v>1880000</v>
      </c>
      <c r="F47" s="120">
        <v>598000</v>
      </c>
      <c r="G47" s="120">
        <v>1282000</v>
      </c>
      <c r="H47" s="120">
        <v>0</v>
      </c>
      <c r="I47" s="120">
        <v>0</v>
      </c>
      <c r="J47" s="120">
        <v>0</v>
      </c>
      <c r="K47" s="120">
        <v>0</v>
      </c>
      <c r="L47" s="120">
        <v>0</v>
      </c>
      <c r="M47" s="120">
        <v>0</v>
      </c>
      <c r="N47" s="127" t="s">
        <v>73</v>
      </c>
      <c r="O47" s="127" t="s">
        <v>101</v>
      </c>
    </row>
    <row r="48" ht="18.75" spans="1:15">
      <c r="A48" s="315" t="s">
        <v>55</v>
      </c>
      <c r="B48" s="237" t="s">
        <v>56</v>
      </c>
      <c r="C48" s="237"/>
      <c r="D48" s="237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330"/>
    </row>
    <row r="49" ht="15.75" spans="1:15">
      <c r="A49" s="316" t="s">
        <v>57</v>
      </c>
      <c r="B49" s="123" t="s">
        <v>160</v>
      </c>
      <c r="C49" s="303" t="s">
        <v>145</v>
      </c>
      <c r="D49" s="303" t="s">
        <v>150</v>
      </c>
      <c r="E49" s="118">
        <f t="shared" ref="E49:E55" si="27">F49+G49+H49+I49+J49</f>
        <v>20858938.63</v>
      </c>
      <c r="F49" s="120">
        <f>F50+F51</f>
        <v>8737726.51</v>
      </c>
      <c r="G49" s="120">
        <f t="shared" ref="G49:M49" si="28">G50+G51</f>
        <v>12121212.12</v>
      </c>
      <c r="H49" s="120">
        <f t="shared" si="28"/>
        <v>0</v>
      </c>
      <c r="I49" s="120">
        <f t="shared" si="28"/>
        <v>0</v>
      </c>
      <c r="J49" s="120">
        <f t="shared" si="28"/>
        <v>0</v>
      </c>
      <c r="K49" s="120">
        <f t="shared" si="28"/>
        <v>0</v>
      </c>
      <c r="L49" s="120">
        <f t="shared" si="28"/>
        <v>0</v>
      </c>
      <c r="M49" s="120">
        <f t="shared" si="28"/>
        <v>0</v>
      </c>
      <c r="N49" s="135" t="s">
        <v>10</v>
      </c>
      <c r="O49" s="330"/>
    </row>
    <row r="50" ht="15.75" spans="1:15">
      <c r="A50" s="317"/>
      <c r="B50" s="123"/>
      <c r="C50" s="306"/>
      <c r="D50" s="306"/>
      <c r="E50" s="118">
        <f t="shared" si="27"/>
        <v>20639999.24</v>
      </c>
      <c r="F50" s="120">
        <f>F52+F53</f>
        <v>8639999.24</v>
      </c>
      <c r="G50" s="120">
        <f t="shared" ref="G50:M50" si="29">G52+G53</f>
        <v>12000000</v>
      </c>
      <c r="H50" s="120">
        <f t="shared" si="29"/>
        <v>0</v>
      </c>
      <c r="I50" s="120">
        <f t="shared" si="29"/>
        <v>0</v>
      </c>
      <c r="J50" s="120">
        <f t="shared" si="29"/>
        <v>0</v>
      </c>
      <c r="K50" s="120">
        <f t="shared" si="29"/>
        <v>0</v>
      </c>
      <c r="L50" s="120">
        <f t="shared" si="29"/>
        <v>0</v>
      </c>
      <c r="M50" s="120">
        <f t="shared" si="29"/>
        <v>0</v>
      </c>
      <c r="N50" s="135" t="s">
        <v>15</v>
      </c>
      <c r="O50" s="330"/>
    </row>
    <row r="51" ht="15.75" spans="1:15">
      <c r="A51" s="317"/>
      <c r="B51" s="123"/>
      <c r="C51" s="308"/>
      <c r="D51" s="308"/>
      <c r="E51" s="118">
        <f t="shared" si="27"/>
        <v>218939.39</v>
      </c>
      <c r="F51" s="120">
        <f>F54+F55</f>
        <v>97727.27</v>
      </c>
      <c r="G51" s="120">
        <f t="shared" ref="G51:M51" si="30">G54+G55</f>
        <v>121212.12</v>
      </c>
      <c r="H51" s="120">
        <f t="shared" si="30"/>
        <v>0</v>
      </c>
      <c r="I51" s="120">
        <f t="shared" si="30"/>
        <v>0</v>
      </c>
      <c r="J51" s="120">
        <f t="shared" si="30"/>
        <v>0</v>
      </c>
      <c r="K51" s="120">
        <f t="shared" si="30"/>
        <v>0</v>
      </c>
      <c r="L51" s="120">
        <f t="shared" si="30"/>
        <v>0</v>
      </c>
      <c r="M51" s="120">
        <f t="shared" si="30"/>
        <v>0</v>
      </c>
      <c r="N51" s="135" t="s">
        <v>16</v>
      </c>
      <c r="O51" s="330"/>
    </row>
    <row r="52" ht="15.75" spans="1:15">
      <c r="A52" s="321" t="s">
        <v>59</v>
      </c>
      <c r="B52" s="123" t="s">
        <v>86</v>
      </c>
      <c r="C52" s="303" t="s">
        <v>145</v>
      </c>
      <c r="D52" s="303" t="s">
        <v>150</v>
      </c>
      <c r="E52" s="118">
        <f t="shared" si="27"/>
        <v>20639999.24</v>
      </c>
      <c r="F52" s="120">
        <f>9674999.52-1035000.28</f>
        <v>8639999.24</v>
      </c>
      <c r="G52" s="120">
        <v>12000000</v>
      </c>
      <c r="H52" s="120">
        <v>0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7" t="s">
        <v>161</v>
      </c>
      <c r="O52" s="330" t="s">
        <v>105</v>
      </c>
    </row>
    <row r="53" ht="15.75" spans="1:15">
      <c r="A53" s="321"/>
      <c r="B53" s="123"/>
      <c r="C53" s="306"/>
      <c r="D53" s="306"/>
      <c r="E53" s="118">
        <f t="shared" si="27"/>
        <v>0</v>
      </c>
      <c r="F53" s="120">
        <v>0</v>
      </c>
      <c r="G53" s="120">
        <v>0</v>
      </c>
      <c r="H53" s="120">
        <v>0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7" t="s">
        <v>161</v>
      </c>
      <c r="O53" s="330" t="s">
        <v>146</v>
      </c>
    </row>
    <row r="54" ht="15.75" spans="1:15">
      <c r="A54" s="321"/>
      <c r="B54" s="123"/>
      <c r="C54" s="306"/>
      <c r="D54" s="306"/>
      <c r="E54" s="118">
        <f t="shared" si="27"/>
        <v>218939.39</v>
      </c>
      <c r="F54" s="120">
        <v>97727.27</v>
      </c>
      <c r="G54" s="120">
        <v>121212.12</v>
      </c>
      <c r="H54" s="120">
        <v>0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7" t="s">
        <v>147</v>
      </c>
      <c r="O54" s="330" t="s">
        <v>105</v>
      </c>
    </row>
    <row r="55" ht="15.75" spans="1:15">
      <c r="A55" s="321"/>
      <c r="B55" s="123"/>
      <c r="C55" s="308"/>
      <c r="D55" s="308"/>
      <c r="E55" s="118">
        <f t="shared" si="27"/>
        <v>0</v>
      </c>
      <c r="F55" s="120">
        <v>0</v>
      </c>
      <c r="G55" s="120">
        <v>0</v>
      </c>
      <c r="H55" s="120">
        <v>0</v>
      </c>
      <c r="I55" s="120">
        <v>0</v>
      </c>
      <c r="J55" s="120">
        <v>0</v>
      </c>
      <c r="K55" s="120">
        <v>0</v>
      </c>
      <c r="L55" s="120">
        <v>0</v>
      </c>
      <c r="M55" s="120">
        <v>0</v>
      </c>
      <c r="N55" s="127" t="s">
        <v>16</v>
      </c>
      <c r="O55" s="330" t="s">
        <v>162</v>
      </c>
    </row>
    <row r="56" ht="16.5" customHeight="1" spans="1:15">
      <c r="A56" s="276" t="s">
        <v>163</v>
      </c>
      <c r="B56" s="276" t="s">
        <v>70</v>
      </c>
      <c r="C56" s="276"/>
      <c r="D56" s="276"/>
      <c r="E56" s="279">
        <f t="shared" ref="E56:E60" si="31">SUM(F56:J56)</f>
        <v>719094914.25</v>
      </c>
      <c r="F56" s="279">
        <f>F57+F58+F59+F60</f>
        <v>311612202.48</v>
      </c>
      <c r="G56" s="279">
        <f>G57+G58+G59+G60</f>
        <v>247495658.39</v>
      </c>
      <c r="H56" s="279">
        <f t="shared" ref="H56:M56" si="32">H57+H58+H59+H60</f>
        <v>79993526.69</v>
      </c>
      <c r="I56" s="279">
        <f t="shared" si="32"/>
        <v>79993526.69</v>
      </c>
      <c r="J56" s="279">
        <f t="shared" si="32"/>
        <v>0</v>
      </c>
      <c r="K56" s="279">
        <f t="shared" si="32"/>
        <v>0</v>
      </c>
      <c r="L56" s="279">
        <f t="shared" si="32"/>
        <v>0</v>
      </c>
      <c r="M56" s="279">
        <f t="shared" si="32"/>
        <v>0</v>
      </c>
      <c r="N56" s="287"/>
      <c r="O56" s="330"/>
    </row>
    <row r="57" ht="18.75" spans="1:15">
      <c r="A57" s="276" t="s">
        <v>164</v>
      </c>
      <c r="B57" s="276"/>
      <c r="C57" s="276"/>
      <c r="D57" s="276"/>
      <c r="E57" s="279">
        <f t="shared" si="31"/>
        <v>283463301.36</v>
      </c>
      <c r="F57" s="280">
        <f t="shared" ref="F57:M57" si="33">F6+F25</f>
        <v>226297399.5</v>
      </c>
      <c r="G57" s="280">
        <f t="shared" si="33"/>
        <v>57165901.86</v>
      </c>
      <c r="H57" s="280">
        <f t="shared" si="33"/>
        <v>0</v>
      </c>
      <c r="I57" s="280">
        <f t="shared" si="33"/>
        <v>0</v>
      </c>
      <c r="J57" s="280">
        <f t="shared" si="33"/>
        <v>0</v>
      </c>
      <c r="K57" s="280">
        <f t="shared" si="33"/>
        <v>0</v>
      </c>
      <c r="L57" s="280">
        <f t="shared" si="33"/>
        <v>0</v>
      </c>
      <c r="M57" s="280">
        <f t="shared" si="33"/>
        <v>0</v>
      </c>
      <c r="N57" s="287" t="s">
        <v>14</v>
      </c>
      <c r="O57" s="330"/>
    </row>
    <row r="58" ht="18.75" spans="1:15">
      <c r="A58" s="276" t="s">
        <v>165</v>
      </c>
      <c r="B58" s="276"/>
      <c r="C58" s="276"/>
      <c r="D58" s="276"/>
      <c r="E58" s="279">
        <f t="shared" si="31"/>
        <v>287398617.43</v>
      </c>
      <c r="F58" s="280">
        <f t="shared" ref="F58:M59" si="34">F7+F26+F50</f>
        <v>41450803.69</v>
      </c>
      <c r="G58" s="280">
        <f t="shared" si="34"/>
        <v>90760371.96</v>
      </c>
      <c r="H58" s="280">
        <f t="shared" si="34"/>
        <v>77593720.89</v>
      </c>
      <c r="I58" s="280">
        <f t="shared" si="34"/>
        <v>77593720.89</v>
      </c>
      <c r="J58" s="280">
        <f t="shared" si="34"/>
        <v>0</v>
      </c>
      <c r="K58" s="280">
        <f t="shared" si="34"/>
        <v>0</v>
      </c>
      <c r="L58" s="280">
        <f t="shared" si="34"/>
        <v>0</v>
      </c>
      <c r="M58" s="280">
        <f t="shared" si="34"/>
        <v>0</v>
      </c>
      <c r="N58" s="287" t="s">
        <v>71</v>
      </c>
      <c r="O58" s="330"/>
    </row>
    <row r="59" ht="18.75" customHeight="1" spans="1:15">
      <c r="A59" s="276" t="s">
        <v>166</v>
      </c>
      <c r="B59" s="276"/>
      <c r="C59" s="276"/>
      <c r="D59" s="276"/>
      <c r="E59" s="279">
        <f t="shared" si="31"/>
        <v>9849046.56</v>
      </c>
      <c r="F59" s="280">
        <f t="shared" si="34"/>
        <v>2128776.56</v>
      </c>
      <c r="G59" s="280">
        <f t="shared" si="34"/>
        <v>2920658.4</v>
      </c>
      <c r="H59" s="280">
        <f t="shared" si="34"/>
        <v>2399805.8</v>
      </c>
      <c r="I59" s="280">
        <f t="shared" si="34"/>
        <v>2399805.8</v>
      </c>
      <c r="J59" s="280">
        <f t="shared" si="34"/>
        <v>0</v>
      </c>
      <c r="K59" s="280">
        <f t="shared" si="34"/>
        <v>0</v>
      </c>
      <c r="L59" s="280">
        <f t="shared" si="34"/>
        <v>0</v>
      </c>
      <c r="M59" s="280">
        <f t="shared" si="34"/>
        <v>0</v>
      </c>
      <c r="N59" s="287" t="s">
        <v>16</v>
      </c>
      <c r="O59" s="330"/>
    </row>
    <row r="60" ht="18.75" customHeight="1" spans="1:15">
      <c r="A60" s="276" t="s">
        <v>167</v>
      </c>
      <c r="B60" s="276"/>
      <c r="C60" s="276"/>
      <c r="D60" s="276"/>
      <c r="E60" s="279">
        <f t="shared" si="31"/>
        <v>138383948.9</v>
      </c>
      <c r="F60" s="282">
        <f>F28+F9</f>
        <v>41735222.73</v>
      </c>
      <c r="G60" s="282">
        <f>G28+G9</f>
        <v>96648726.17</v>
      </c>
      <c r="H60" s="282">
        <f t="shared" ref="H60:M60" si="35">H28</f>
        <v>0</v>
      </c>
      <c r="I60" s="282">
        <f t="shared" si="35"/>
        <v>0</v>
      </c>
      <c r="J60" s="282">
        <f t="shared" si="35"/>
        <v>0</v>
      </c>
      <c r="K60" s="282">
        <f t="shared" si="35"/>
        <v>0</v>
      </c>
      <c r="L60" s="282">
        <f t="shared" si="35"/>
        <v>0</v>
      </c>
      <c r="M60" s="282">
        <f t="shared" si="35"/>
        <v>0</v>
      </c>
      <c r="N60" s="287" t="s">
        <v>73</v>
      </c>
      <c r="O60" s="330"/>
    </row>
    <row r="61" ht="18.75" spans="1:14">
      <c r="A61" s="284" t="s">
        <v>168</v>
      </c>
      <c r="B61" s="322"/>
      <c r="C61" s="322"/>
      <c r="D61" s="322"/>
      <c r="E61" s="323"/>
      <c r="F61" s="323"/>
      <c r="G61" s="323"/>
      <c r="H61" s="323"/>
      <c r="I61" s="323"/>
      <c r="J61" s="323"/>
      <c r="K61" s="323"/>
      <c r="L61" s="323"/>
      <c r="M61" s="323"/>
      <c r="N61" s="340"/>
    </row>
    <row r="62" ht="15.75" spans="1:14">
      <c r="A62" s="83"/>
      <c r="B62" s="84"/>
      <c r="C62" s="84"/>
      <c r="D62" s="84"/>
      <c r="E62" s="85"/>
      <c r="F62" s="83"/>
      <c r="G62" s="83"/>
      <c r="H62" s="83"/>
      <c r="I62" s="83"/>
      <c r="J62" s="93"/>
      <c r="K62" s="93"/>
      <c r="L62" s="93"/>
      <c r="M62" s="93"/>
      <c r="N62" s="93"/>
    </row>
    <row r="63" ht="15.75" spans="1:15">
      <c r="A63" s="83"/>
      <c r="B63" s="83"/>
      <c r="C63" s="83"/>
      <c r="D63" s="83"/>
      <c r="E63" s="83"/>
      <c r="F63" s="83"/>
      <c r="G63" s="83"/>
      <c r="H63" s="83"/>
      <c r="I63" s="8"/>
      <c r="J63" s="29"/>
      <c r="K63" s="101" t="s">
        <v>87</v>
      </c>
      <c r="L63" s="101"/>
      <c r="M63" s="101"/>
      <c r="N63" s="341">
        <v>178063747.64</v>
      </c>
      <c r="O63" s="342"/>
    </row>
    <row r="64" s="1" customFormat="1" ht="15.75" spans="1:15">
      <c r="A64" s="83"/>
      <c r="B64" s="83"/>
      <c r="C64" s="83"/>
      <c r="D64" s="83"/>
      <c r="E64" s="83"/>
      <c r="F64" s="83"/>
      <c r="G64" s="83" t="s">
        <v>123</v>
      </c>
      <c r="H64" s="83"/>
      <c r="J64" s="29"/>
      <c r="K64" s="101" t="s">
        <v>88</v>
      </c>
      <c r="L64" s="101"/>
      <c r="M64" s="101"/>
      <c r="N64" s="341">
        <v>506829756.46</v>
      </c>
      <c r="O64" s="342"/>
    </row>
    <row r="65" s="1" customFormat="1" ht="15.75" spans="1:15">
      <c r="A65" s="83"/>
      <c r="B65" s="83"/>
      <c r="C65" s="83"/>
      <c r="D65" s="83"/>
      <c r="E65" s="83"/>
      <c r="F65" s="83"/>
      <c r="G65" s="83" t="s">
        <v>14</v>
      </c>
      <c r="H65" s="85">
        <f t="shared" ref="H65:H68" si="36">F57+G57+H57</f>
        <v>283463301.36</v>
      </c>
      <c r="I65" s="343">
        <f>N65-H65-H66-H67-H68</f>
        <v>0</v>
      </c>
      <c r="J65" s="29"/>
      <c r="K65" s="101" t="s">
        <v>123</v>
      </c>
      <c r="L65" s="101"/>
      <c r="M65" s="101"/>
      <c r="N65" s="341">
        <f>F56+G56+H56</f>
        <v>639101387.56</v>
      </c>
      <c r="O65" s="342"/>
    </row>
    <row r="66" s="1" customFormat="1" ht="15.75" spans="1:15">
      <c r="A66" s="83"/>
      <c r="B66" s="83"/>
      <c r="C66" s="83"/>
      <c r="D66" s="83"/>
      <c r="E66" s="83"/>
      <c r="F66" s="83"/>
      <c r="G66" s="83" t="s">
        <v>15</v>
      </c>
      <c r="H66" s="85">
        <f t="shared" si="36"/>
        <v>209804896.54</v>
      </c>
      <c r="I66" s="343"/>
      <c r="J66" s="29"/>
      <c r="K66" s="101" t="s">
        <v>169</v>
      </c>
      <c r="L66" s="101"/>
      <c r="M66" s="101"/>
      <c r="N66" s="341">
        <f>I56+J56+K56+L56+M56</f>
        <v>79993526.69</v>
      </c>
      <c r="O66" s="342"/>
    </row>
    <row r="67" s="1" customFormat="1" ht="15.75" spans="1:15">
      <c r="A67" s="83"/>
      <c r="B67" s="83"/>
      <c r="C67" s="83"/>
      <c r="D67" s="83"/>
      <c r="E67" s="85"/>
      <c r="F67" s="83"/>
      <c r="G67" s="83" t="s">
        <v>16</v>
      </c>
      <c r="H67" s="85">
        <f t="shared" si="36"/>
        <v>7449240.76</v>
      </c>
      <c r="I67" s="343"/>
      <c r="J67" s="29"/>
      <c r="K67" s="101"/>
      <c r="L67" s="101"/>
      <c r="M67" s="101"/>
      <c r="N67" s="341">
        <f>J56+K56+L56+M56</f>
        <v>0</v>
      </c>
      <c r="O67" s="342"/>
    </row>
    <row r="68" ht="15.75" spans="7:15">
      <c r="G68" s="3" t="s">
        <v>73</v>
      </c>
      <c r="H68" s="85">
        <f t="shared" si="36"/>
        <v>138383948.9</v>
      </c>
      <c r="I68" s="343"/>
      <c r="J68" s="29"/>
      <c r="K68" s="29"/>
      <c r="L68" s="29"/>
      <c r="M68" s="29"/>
      <c r="N68" s="111">
        <f>N63+N64+N65+N66+N67</f>
        <v>1403988418.35</v>
      </c>
      <c r="O68" s="112"/>
    </row>
    <row r="81" s="2" customFormat="1" spans="1:16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 t="s">
        <v>125</v>
      </c>
      <c r="O81" s="8"/>
      <c r="P81" s="8"/>
    </row>
  </sheetData>
  <mergeCells count="69">
    <mergeCell ref="E1:M1"/>
    <mergeCell ref="B23:N23"/>
    <mergeCell ref="B48:N48"/>
    <mergeCell ref="A61:D61"/>
    <mergeCell ref="K63:M63"/>
    <mergeCell ref="N63:O63"/>
    <mergeCell ref="K64:M64"/>
    <mergeCell ref="N64:O64"/>
    <mergeCell ref="K65:M65"/>
    <mergeCell ref="N65:O65"/>
    <mergeCell ref="K66:M66"/>
    <mergeCell ref="N66:O66"/>
    <mergeCell ref="K67:M67"/>
    <mergeCell ref="N67:O67"/>
    <mergeCell ref="N68:O68"/>
    <mergeCell ref="A1:A2"/>
    <mergeCell ref="A5:A8"/>
    <mergeCell ref="A10:A17"/>
    <mergeCell ref="A18:A21"/>
    <mergeCell ref="A24:A28"/>
    <mergeCell ref="A29:A31"/>
    <mergeCell ref="A32:A35"/>
    <mergeCell ref="A36:A38"/>
    <mergeCell ref="A39:A43"/>
    <mergeCell ref="A44:A47"/>
    <mergeCell ref="A49:A51"/>
    <mergeCell ref="A52:A55"/>
    <mergeCell ref="B1:B2"/>
    <mergeCell ref="B5:B9"/>
    <mergeCell ref="B10:B17"/>
    <mergeCell ref="B18:B22"/>
    <mergeCell ref="B24:B28"/>
    <mergeCell ref="B29:B31"/>
    <mergeCell ref="B32:B35"/>
    <mergeCell ref="B36:B38"/>
    <mergeCell ref="B39:B43"/>
    <mergeCell ref="B44:B47"/>
    <mergeCell ref="B49:B51"/>
    <mergeCell ref="B52:B55"/>
    <mergeCell ref="C1:C2"/>
    <mergeCell ref="C5:C9"/>
    <mergeCell ref="C10:C17"/>
    <mergeCell ref="C18:C22"/>
    <mergeCell ref="C24:C28"/>
    <mergeCell ref="C29:C31"/>
    <mergeCell ref="C32:C35"/>
    <mergeCell ref="C36:C38"/>
    <mergeCell ref="C39:C43"/>
    <mergeCell ref="C44:C47"/>
    <mergeCell ref="C49:C51"/>
    <mergeCell ref="C52:C55"/>
    <mergeCell ref="D1:D2"/>
    <mergeCell ref="D5:D9"/>
    <mergeCell ref="D10:D17"/>
    <mergeCell ref="D18:D22"/>
    <mergeCell ref="D24:D28"/>
    <mergeCell ref="D29:D31"/>
    <mergeCell ref="D32:D35"/>
    <mergeCell ref="D36:D38"/>
    <mergeCell ref="D39:D43"/>
    <mergeCell ref="D44:D47"/>
    <mergeCell ref="D49:D51"/>
    <mergeCell ref="D52:D55"/>
    <mergeCell ref="I65:I68"/>
    <mergeCell ref="N1:N2"/>
    <mergeCell ref="O1:O2"/>
    <mergeCell ref="O29:O31"/>
    <mergeCell ref="O37:O38"/>
    <mergeCell ref="O40:O43"/>
  </mergeCells>
  <pageMargins left="0.118110236220472" right="0.118110236220472" top="0.15748031496063" bottom="0.15748031496063" header="0.31496062992126" footer="0.31496062992126"/>
  <pageSetup paperSize="9" scale="81" fitToHeight="0" orientation="landscape" blackAndWhite="1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9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38.4285714285714" style="3" customWidth="1"/>
    <col min="3" max="3" width="7.57142857142857" style="3" customWidth="1"/>
    <col min="4" max="4" width="7.71428571428571" style="3" customWidth="1"/>
    <col min="5" max="5" width="18" style="3" customWidth="1"/>
    <col min="6" max="7" width="15.4285714285714" style="3" customWidth="1"/>
    <col min="8" max="9" width="14.2857142857143" style="3" customWidth="1"/>
    <col min="10" max="10" width="12.7142857142857" style="3" customWidth="1"/>
    <col min="11" max="13" width="7" style="3" customWidth="1"/>
    <col min="14" max="14" width="9.85714285714286" style="4" customWidth="1"/>
    <col min="15" max="15" width="11.1428571428571" style="5" customWidth="1"/>
    <col min="16" max="16" width="14.7142857142857" style="3" customWidth="1"/>
    <col min="17" max="16384" width="39" style="8"/>
  </cols>
  <sheetData>
    <row r="1" ht="18.75" spans="6:13">
      <c r="F1" s="46">
        <v>2023</v>
      </c>
      <c r="G1" s="46">
        <v>2024</v>
      </c>
      <c r="H1" s="46">
        <v>2025</v>
      </c>
      <c r="I1" s="46">
        <v>2026</v>
      </c>
      <c r="J1" s="46">
        <v>2027</v>
      </c>
      <c r="K1" s="46">
        <v>2028</v>
      </c>
      <c r="L1" s="46">
        <v>2029</v>
      </c>
      <c r="M1" s="46">
        <v>2030</v>
      </c>
    </row>
    <row r="2" ht="18.75" spans="10:14">
      <c r="J2" s="48" t="s">
        <v>170</v>
      </c>
      <c r="K2" s="48"/>
      <c r="L2" s="48"/>
      <c r="M2" s="49"/>
      <c r="N2" s="5"/>
    </row>
    <row r="3" ht="18.75" spans="10:14">
      <c r="J3" s="86" t="s">
        <v>171</v>
      </c>
      <c r="K3" s="8"/>
      <c r="L3" s="8"/>
      <c r="M3" s="49"/>
      <c r="N3" s="5"/>
    </row>
    <row r="4" ht="18.75" spans="10:14">
      <c r="J4" s="86" t="s">
        <v>172</v>
      </c>
      <c r="K4" s="8"/>
      <c r="L4" s="8"/>
      <c r="M4" s="49"/>
      <c r="N4" s="5"/>
    </row>
    <row r="5" ht="18.75" spans="10:14">
      <c r="J5" s="86" t="s">
        <v>173</v>
      </c>
      <c r="K5" s="8"/>
      <c r="L5" s="8"/>
      <c r="M5" s="49"/>
      <c r="N5" s="5"/>
    </row>
    <row r="6" spans="11:14">
      <c r="K6" s="8"/>
      <c r="L6" s="8"/>
      <c r="M6" s="8"/>
      <c r="N6" s="49"/>
    </row>
    <row r="7" ht="18.75" spans="10:14">
      <c r="J7" s="86" t="s">
        <v>174</v>
      </c>
      <c r="K7" s="8"/>
      <c r="M7" s="8"/>
      <c r="N7" s="49"/>
    </row>
    <row r="8" ht="18.75" spans="10:14">
      <c r="J8" s="56" t="s">
        <v>175</v>
      </c>
      <c r="K8" s="8"/>
      <c r="M8" s="8"/>
      <c r="N8" s="49"/>
    </row>
    <row r="9" ht="18.75" spans="10:14">
      <c r="J9" s="56" t="s">
        <v>176</v>
      </c>
      <c r="K9" s="8"/>
      <c r="M9" s="8"/>
      <c r="N9" s="49"/>
    </row>
    <row r="10" ht="18.75" spans="10:17">
      <c r="J10" s="56" t="s">
        <v>177</v>
      </c>
      <c r="K10" s="52"/>
      <c r="M10" s="52"/>
      <c r="N10" s="53"/>
      <c r="O10" s="54"/>
      <c r="P10" s="254"/>
      <c r="Q10" s="52"/>
    </row>
    <row r="11" ht="18.75" spans="2:17">
      <c r="B11" s="10" t="s">
        <v>178</v>
      </c>
      <c r="C11" s="10"/>
      <c r="D11" s="10"/>
      <c r="E11" s="10"/>
      <c r="F11" s="10"/>
      <c r="G11" s="10"/>
      <c r="H11" s="10"/>
      <c r="K11" s="56"/>
      <c r="L11" s="52"/>
      <c r="M11" s="52"/>
      <c r="N11" s="53"/>
      <c r="O11" s="54"/>
      <c r="P11" s="254"/>
      <c r="Q11" s="52"/>
    </row>
    <row r="12" ht="18.75" spans="11:17">
      <c r="K12" s="56"/>
      <c r="L12" s="52"/>
      <c r="M12" s="52"/>
      <c r="N12" s="53"/>
      <c r="O12" s="54"/>
      <c r="P12" s="254"/>
      <c r="Q12" s="52"/>
    </row>
    <row r="13" spans="1:16">
      <c r="A13" s="12" t="s">
        <v>134</v>
      </c>
      <c r="B13" s="13" t="s">
        <v>179</v>
      </c>
      <c r="C13" s="14" t="s">
        <v>180</v>
      </c>
      <c r="D13" s="14" t="s">
        <v>181</v>
      </c>
      <c r="E13" s="57" t="s">
        <v>138</v>
      </c>
      <c r="F13" s="57"/>
      <c r="G13" s="57"/>
      <c r="H13" s="57"/>
      <c r="I13" s="57"/>
      <c r="J13" s="57"/>
      <c r="K13" s="57"/>
      <c r="L13" s="57"/>
      <c r="M13" s="57"/>
      <c r="N13" s="58" t="s">
        <v>139</v>
      </c>
      <c r="O13" s="58" t="s">
        <v>140</v>
      </c>
      <c r="P13" s="255" t="s">
        <v>182</v>
      </c>
    </row>
    <row r="14" spans="1:16">
      <c r="A14" s="12"/>
      <c r="B14" s="13"/>
      <c r="C14" s="14"/>
      <c r="D14" s="14"/>
      <c r="E14" s="57"/>
      <c r="F14" s="220" t="s">
        <v>183</v>
      </c>
      <c r="G14" s="57"/>
      <c r="H14" s="57"/>
      <c r="I14" s="57"/>
      <c r="J14" s="57"/>
      <c r="K14" s="57"/>
      <c r="L14" s="57"/>
      <c r="M14" s="57"/>
      <c r="N14" s="58"/>
      <c r="O14" s="58"/>
      <c r="P14" s="256"/>
    </row>
    <row r="15" ht="58.5" customHeight="1" spans="1:16">
      <c r="A15" s="12"/>
      <c r="B15" s="13"/>
      <c r="C15" s="14"/>
      <c r="D15" s="14"/>
      <c r="E15" s="75" t="s">
        <v>141</v>
      </c>
      <c r="F15" s="46">
        <v>2023</v>
      </c>
      <c r="G15" s="46">
        <v>2024</v>
      </c>
      <c r="H15" s="46">
        <v>2025</v>
      </c>
      <c r="I15" s="46">
        <v>2026</v>
      </c>
      <c r="J15" s="46">
        <v>2027</v>
      </c>
      <c r="K15" s="46">
        <v>2028</v>
      </c>
      <c r="L15" s="46">
        <v>2029</v>
      </c>
      <c r="M15" s="46">
        <v>2030</v>
      </c>
      <c r="N15" s="58"/>
      <c r="O15" s="58"/>
      <c r="P15" s="257"/>
    </row>
    <row r="16" spans="1:16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58">
        <v>14</v>
      </c>
      <c r="O16" s="58">
        <v>15</v>
      </c>
      <c r="P16" s="258"/>
    </row>
    <row r="17" s="1" customFormat="1" ht="18.75" spans="1:16">
      <c r="A17" s="20" t="s">
        <v>6</v>
      </c>
      <c r="B17" s="21" t="s">
        <v>7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="1" customFormat="1" ht="15.75" customHeight="1" spans="1:17">
      <c r="A18" s="221" t="s">
        <v>8</v>
      </c>
      <c r="B18" s="222" t="s">
        <v>143</v>
      </c>
      <c r="C18" s="223" t="s">
        <v>144</v>
      </c>
      <c r="D18" s="223" t="s">
        <v>144</v>
      </c>
      <c r="E18" s="224">
        <f>F18+G18+H18+I18+J18</f>
        <v>294616892.8</v>
      </c>
      <c r="F18" s="225">
        <f>SUM(F19:F22)</f>
        <v>164564076.58</v>
      </c>
      <c r="G18" s="226">
        <f>SUM(G19:G22)</f>
        <v>130052816.22</v>
      </c>
      <c r="H18" s="225">
        <f t="shared" ref="H18:M18" si="0">SUM(H19:H22)</f>
        <v>0</v>
      </c>
      <c r="I18" s="225">
        <f t="shared" si="0"/>
        <v>0</v>
      </c>
      <c r="J18" s="225">
        <f t="shared" si="0"/>
        <v>0</v>
      </c>
      <c r="K18" s="225">
        <f t="shared" si="0"/>
        <v>0</v>
      </c>
      <c r="L18" s="225">
        <f t="shared" si="0"/>
        <v>0</v>
      </c>
      <c r="M18" s="225">
        <f t="shared" si="0"/>
        <v>0</v>
      </c>
      <c r="N18" s="259" t="s">
        <v>144</v>
      </c>
      <c r="O18" s="260" t="s">
        <v>144</v>
      </c>
      <c r="P18" s="225">
        <f>SUM(P19:P22)</f>
        <v>31725888.68</v>
      </c>
      <c r="Q18" s="273"/>
    </row>
    <row r="19" s="1" customFormat="1" ht="15.75" spans="1:16">
      <c r="A19" s="221"/>
      <c r="B19" s="222"/>
      <c r="C19" s="223"/>
      <c r="D19" s="223"/>
      <c r="E19" s="227">
        <f t="shared" ref="E19:E35" si="1">SUM(F19:J19)</f>
        <v>178080756.49</v>
      </c>
      <c r="F19" s="225">
        <f>F24+F25+F32+F33</f>
        <v>141479117.43</v>
      </c>
      <c r="G19" s="225">
        <f>G24+G25+G32+G33</f>
        <v>36601639.06</v>
      </c>
      <c r="H19" s="225">
        <f t="shared" ref="H19:M19" si="2">H24+H25+H32+H33</f>
        <v>0</v>
      </c>
      <c r="I19" s="225">
        <f t="shared" si="2"/>
        <v>0</v>
      </c>
      <c r="J19" s="225">
        <f t="shared" si="2"/>
        <v>0</v>
      </c>
      <c r="K19" s="225">
        <f t="shared" si="2"/>
        <v>0</v>
      </c>
      <c r="L19" s="225">
        <f t="shared" si="2"/>
        <v>0</v>
      </c>
      <c r="M19" s="225">
        <f t="shared" si="2"/>
        <v>0</v>
      </c>
      <c r="N19" s="259" t="s">
        <v>78</v>
      </c>
      <c r="O19" s="260"/>
      <c r="P19" s="225">
        <f>P24+P25+P32+P33</f>
        <v>0</v>
      </c>
    </row>
    <row r="20" s="1" customFormat="1" ht="15.75" spans="1:16">
      <c r="A20" s="221"/>
      <c r="B20" s="222"/>
      <c r="C20" s="223"/>
      <c r="D20" s="223"/>
      <c r="E20" s="227">
        <f t="shared" si="1"/>
        <v>1471035.85</v>
      </c>
      <c r="F20" s="225">
        <f>F26+F27</f>
        <v>724063.62</v>
      </c>
      <c r="G20" s="225">
        <f>G26+G27</f>
        <v>746972.23</v>
      </c>
      <c r="H20" s="225">
        <f t="shared" ref="H20:M20" si="3">H26+H27</f>
        <v>0</v>
      </c>
      <c r="I20" s="225">
        <f t="shared" si="3"/>
        <v>0</v>
      </c>
      <c r="J20" s="225">
        <f t="shared" si="3"/>
        <v>0</v>
      </c>
      <c r="K20" s="225">
        <f t="shared" si="3"/>
        <v>0</v>
      </c>
      <c r="L20" s="225">
        <f t="shared" si="3"/>
        <v>0</v>
      </c>
      <c r="M20" s="225">
        <f t="shared" si="3"/>
        <v>0</v>
      </c>
      <c r="N20" s="259" t="s">
        <v>71</v>
      </c>
      <c r="O20" s="260"/>
      <c r="P20" s="225">
        <f>P26+P27</f>
        <v>0</v>
      </c>
    </row>
    <row r="21" s="1" customFormat="1" ht="15.75" spans="1:16">
      <c r="A21" s="221"/>
      <c r="B21" s="222"/>
      <c r="C21" s="223"/>
      <c r="D21" s="223"/>
      <c r="E21" s="227">
        <f t="shared" si="1"/>
        <v>369607</v>
      </c>
      <c r="F21" s="225">
        <f>F28+F29</f>
        <v>181925.53</v>
      </c>
      <c r="G21" s="225">
        <f>G28+G29</f>
        <v>187681.47</v>
      </c>
      <c r="H21" s="225">
        <f t="shared" ref="H21:M21" si="4">H28+H29</f>
        <v>0</v>
      </c>
      <c r="I21" s="225">
        <f t="shared" si="4"/>
        <v>0</v>
      </c>
      <c r="J21" s="225">
        <f t="shared" si="4"/>
        <v>0</v>
      </c>
      <c r="K21" s="225">
        <f t="shared" si="4"/>
        <v>0</v>
      </c>
      <c r="L21" s="225">
        <f t="shared" si="4"/>
        <v>0</v>
      </c>
      <c r="M21" s="225">
        <f t="shared" si="4"/>
        <v>0</v>
      </c>
      <c r="N21" s="259" t="s">
        <v>16</v>
      </c>
      <c r="O21" s="260"/>
      <c r="P21" s="225">
        <f>P28+P29</f>
        <v>0</v>
      </c>
    </row>
    <row r="22" s="1" customFormat="1" ht="15.75" spans="1:17">
      <c r="A22" s="221"/>
      <c r="B22" s="222"/>
      <c r="C22" s="223"/>
      <c r="D22" s="223"/>
      <c r="E22" s="224">
        <f t="shared" si="1"/>
        <v>114695493.46</v>
      </c>
      <c r="F22" s="225">
        <f>F34+F35</f>
        <v>22178970</v>
      </c>
      <c r="G22" s="226">
        <f>G34+G35+G30</f>
        <v>92516523.46</v>
      </c>
      <c r="H22" s="225">
        <f t="shared" ref="H22:M22" si="5">H34+H35+H30</f>
        <v>0</v>
      </c>
      <c r="I22" s="225">
        <f t="shared" si="5"/>
        <v>0</v>
      </c>
      <c r="J22" s="225">
        <f t="shared" si="5"/>
        <v>0</v>
      </c>
      <c r="K22" s="225">
        <f t="shared" si="5"/>
        <v>0</v>
      </c>
      <c r="L22" s="225">
        <f t="shared" si="5"/>
        <v>0</v>
      </c>
      <c r="M22" s="225">
        <f t="shared" si="5"/>
        <v>0</v>
      </c>
      <c r="N22" s="259" t="s">
        <v>73</v>
      </c>
      <c r="O22" s="260"/>
      <c r="P22" s="225">
        <f>P34+P35+P30</f>
        <v>31725888.68</v>
      </c>
      <c r="Q22" s="273"/>
    </row>
    <row r="23" s="1" customFormat="1" ht="15.75" spans="1:16">
      <c r="A23" s="228" t="s">
        <v>11</v>
      </c>
      <c r="B23" s="123" t="s">
        <v>79</v>
      </c>
      <c r="C23" s="124" t="s">
        <v>145</v>
      </c>
      <c r="D23" s="124" t="s">
        <v>123</v>
      </c>
      <c r="E23" s="229">
        <f t="shared" si="1"/>
        <v>94814714.12</v>
      </c>
      <c r="F23" s="230">
        <f>F24+F25+F26+F27+F28+F30</f>
        <v>36385106.58</v>
      </c>
      <c r="G23" s="231">
        <f>G24+G25+G26+G27+G28+G30+G29</f>
        <v>58429607.54</v>
      </c>
      <c r="H23" s="230">
        <f t="shared" ref="H23:M23" si="6">H24+H25+H26+H27+H28+H30+H29</f>
        <v>0</v>
      </c>
      <c r="I23" s="230">
        <f t="shared" si="6"/>
        <v>0</v>
      </c>
      <c r="J23" s="230">
        <f t="shared" si="6"/>
        <v>0</v>
      </c>
      <c r="K23" s="230">
        <f t="shared" si="6"/>
        <v>0</v>
      </c>
      <c r="L23" s="230">
        <f t="shared" si="6"/>
        <v>0</v>
      </c>
      <c r="M23" s="230">
        <f t="shared" si="6"/>
        <v>0</v>
      </c>
      <c r="N23" s="261" t="s">
        <v>144</v>
      </c>
      <c r="O23" s="262" t="s">
        <v>144</v>
      </c>
      <c r="P23" s="230">
        <f>P24+P25+P26+P27+P28+P30+P29</f>
        <v>500000</v>
      </c>
    </row>
    <row r="24" s="1" customFormat="1" ht="15.75" spans="1:16">
      <c r="A24" s="228"/>
      <c r="B24" s="123"/>
      <c r="C24" s="124"/>
      <c r="D24" s="124"/>
      <c r="E24" s="116">
        <f t="shared" si="1"/>
        <v>72080756.49</v>
      </c>
      <c r="F24" s="120">
        <v>35479117.43</v>
      </c>
      <c r="G24" s="120">
        <v>36601639.06</v>
      </c>
      <c r="H24" s="232">
        <v>0</v>
      </c>
      <c r="I24" s="232">
        <v>0</v>
      </c>
      <c r="J24" s="232">
        <v>0</v>
      </c>
      <c r="K24" s="232">
        <v>0</v>
      </c>
      <c r="L24" s="232">
        <v>0</v>
      </c>
      <c r="M24" s="232">
        <v>0</v>
      </c>
      <c r="N24" s="127" t="s">
        <v>78</v>
      </c>
      <c r="O24" s="65" t="s">
        <v>105</v>
      </c>
      <c r="P24" s="68"/>
    </row>
    <row r="25" s="1" customFormat="1" ht="15.75" spans="1:16">
      <c r="A25" s="228"/>
      <c r="B25" s="123"/>
      <c r="C25" s="124"/>
      <c r="D25" s="124"/>
      <c r="E25" s="116">
        <f t="shared" si="1"/>
        <v>0</v>
      </c>
      <c r="F25" s="120">
        <v>0</v>
      </c>
      <c r="G25" s="120">
        <v>0</v>
      </c>
      <c r="H25" s="120">
        <v>0</v>
      </c>
      <c r="I25" s="120">
        <v>0</v>
      </c>
      <c r="J25" s="120">
        <v>0</v>
      </c>
      <c r="K25" s="120">
        <v>0</v>
      </c>
      <c r="L25" s="120">
        <v>0</v>
      </c>
      <c r="M25" s="120">
        <v>0</v>
      </c>
      <c r="N25" s="127" t="s">
        <v>78</v>
      </c>
      <c r="O25" s="65" t="s">
        <v>146</v>
      </c>
      <c r="P25" s="68"/>
    </row>
    <row r="26" s="1" customFormat="1" ht="15.75" spans="1:16">
      <c r="A26" s="228"/>
      <c r="B26" s="123"/>
      <c r="C26" s="124"/>
      <c r="D26" s="124"/>
      <c r="E26" s="116">
        <f t="shared" si="1"/>
        <v>1471035.85</v>
      </c>
      <c r="F26" s="120">
        <v>724063.62</v>
      </c>
      <c r="G26" s="120">
        <v>746972.23</v>
      </c>
      <c r="H26" s="120">
        <v>0</v>
      </c>
      <c r="I26" s="120">
        <v>0</v>
      </c>
      <c r="J26" s="120">
        <v>0</v>
      </c>
      <c r="K26" s="120">
        <v>0</v>
      </c>
      <c r="L26" s="120">
        <v>0</v>
      </c>
      <c r="M26" s="120">
        <v>0</v>
      </c>
      <c r="N26" s="127" t="s">
        <v>71</v>
      </c>
      <c r="O26" s="65" t="s">
        <v>105</v>
      </c>
      <c r="P26" s="68"/>
    </row>
    <row r="27" s="1" customFormat="1" ht="15.75" spans="1:16">
      <c r="A27" s="228"/>
      <c r="B27" s="123"/>
      <c r="C27" s="124"/>
      <c r="D27" s="124"/>
      <c r="E27" s="116">
        <f t="shared" si="1"/>
        <v>0</v>
      </c>
      <c r="F27" s="120">
        <v>0</v>
      </c>
      <c r="G27" s="120">
        <v>0</v>
      </c>
      <c r="H27" s="120">
        <v>0</v>
      </c>
      <c r="I27" s="120">
        <v>0</v>
      </c>
      <c r="J27" s="120">
        <v>0</v>
      </c>
      <c r="K27" s="120">
        <v>0</v>
      </c>
      <c r="L27" s="120">
        <v>0</v>
      </c>
      <c r="M27" s="120">
        <v>0</v>
      </c>
      <c r="N27" s="127" t="s">
        <v>71</v>
      </c>
      <c r="O27" s="65" t="s">
        <v>146</v>
      </c>
      <c r="P27" s="68"/>
    </row>
    <row r="28" s="1" customFormat="1" ht="15.75" spans="1:16">
      <c r="A28" s="228"/>
      <c r="B28" s="123"/>
      <c r="C28" s="124"/>
      <c r="D28" s="124"/>
      <c r="E28" s="116">
        <f t="shared" si="1"/>
        <v>369607</v>
      </c>
      <c r="F28" s="120">
        <v>181925.53</v>
      </c>
      <c r="G28" s="120">
        <v>187681.47</v>
      </c>
      <c r="H28" s="120">
        <v>0</v>
      </c>
      <c r="I28" s="120">
        <v>0</v>
      </c>
      <c r="J28" s="120">
        <v>0</v>
      </c>
      <c r="K28" s="120">
        <v>0</v>
      </c>
      <c r="L28" s="120">
        <v>0</v>
      </c>
      <c r="M28" s="120">
        <v>0</v>
      </c>
      <c r="N28" s="127" t="s">
        <v>16</v>
      </c>
      <c r="O28" s="65" t="s">
        <v>105</v>
      </c>
      <c r="P28" s="68"/>
    </row>
    <row r="29" s="1" customFormat="1" ht="15.75" spans="1:16">
      <c r="A29" s="228"/>
      <c r="B29" s="123"/>
      <c r="C29" s="124"/>
      <c r="D29" s="124"/>
      <c r="E29" s="116">
        <f t="shared" si="1"/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7" t="s">
        <v>147</v>
      </c>
      <c r="O29" s="65" t="s">
        <v>146</v>
      </c>
      <c r="P29" s="68"/>
    </row>
    <row r="30" s="1" customFormat="1" ht="15.75" spans="1:16">
      <c r="A30" s="228"/>
      <c r="B30" s="123"/>
      <c r="C30" s="124"/>
      <c r="D30" s="124"/>
      <c r="E30" s="233">
        <f t="shared" si="1"/>
        <v>20893314.78</v>
      </c>
      <c r="F30" s="120">
        <v>0</v>
      </c>
      <c r="G30" s="234">
        <f>269532.53+12123782.25+8000000+P30</f>
        <v>20893314.78</v>
      </c>
      <c r="H30" s="120">
        <v>0</v>
      </c>
      <c r="I30" s="120">
        <v>0</v>
      </c>
      <c r="J30" s="120">
        <v>0</v>
      </c>
      <c r="K30" s="120">
        <v>0</v>
      </c>
      <c r="L30" s="120">
        <v>0</v>
      </c>
      <c r="M30" s="120">
        <v>0</v>
      </c>
      <c r="N30" s="127" t="s">
        <v>73</v>
      </c>
      <c r="O30" s="65" t="s">
        <v>105</v>
      </c>
      <c r="P30" s="68">
        <f>500000</f>
        <v>500000</v>
      </c>
    </row>
    <row r="31" s="1" customFormat="1" ht="15.75" customHeight="1" spans="1:17">
      <c r="A31" s="228" t="s">
        <v>91</v>
      </c>
      <c r="B31" s="123" t="s">
        <v>148</v>
      </c>
      <c r="C31" s="124" t="s">
        <v>149</v>
      </c>
      <c r="D31" s="124" t="s">
        <v>150</v>
      </c>
      <c r="E31" s="229">
        <f t="shared" si="1"/>
        <v>199802178.68</v>
      </c>
      <c r="F31" s="235">
        <f>F32+F33+F34+F35</f>
        <v>128178970</v>
      </c>
      <c r="G31" s="236">
        <f>G32+G33+G34+G35</f>
        <v>71623208.68</v>
      </c>
      <c r="H31" s="235">
        <f t="shared" ref="H31:M31" si="7">H32+H33+H34+H35</f>
        <v>0</v>
      </c>
      <c r="I31" s="235">
        <f t="shared" si="7"/>
        <v>0</v>
      </c>
      <c r="J31" s="235">
        <f t="shared" si="7"/>
        <v>0</v>
      </c>
      <c r="K31" s="235">
        <f t="shared" si="7"/>
        <v>0</v>
      </c>
      <c r="L31" s="235">
        <f t="shared" si="7"/>
        <v>0</v>
      </c>
      <c r="M31" s="235">
        <f t="shared" si="7"/>
        <v>0</v>
      </c>
      <c r="N31" s="261" t="s">
        <v>144</v>
      </c>
      <c r="O31" s="262" t="s">
        <v>144</v>
      </c>
      <c r="P31" s="235">
        <f>P32+P33+P34+P35</f>
        <v>31225888.68</v>
      </c>
      <c r="Q31" s="273"/>
    </row>
    <row r="32" s="1" customFormat="1" ht="15.75" spans="1:16">
      <c r="A32" s="228"/>
      <c r="B32" s="123"/>
      <c r="C32" s="124"/>
      <c r="D32" s="124"/>
      <c r="E32" s="116">
        <f t="shared" si="1"/>
        <v>63133615.4</v>
      </c>
      <c r="F32" s="120">
        <f>106000000-37799322.82-5067061.78</f>
        <v>63133615.4</v>
      </c>
      <c r="G32" s="120">
        <v>0</v>
      </c>
      <c r="H32" s="120">
        <v>0</v>
      </c>
      <c r="I32" s="120">
        <v>0</v>
      </c>
      <c r="J32" s="120">
        <v>0</v>
      </c>
      <c r="K32" s="120">
        <v>0</v>
      </c>
      <c r="L32" s="120">
        <v>0</v>
      </c>
      <c r="M32" s="120">
        <v>0</v>
      </c>
      <c r="N32" s="127" t="s">
        <v>78</v>
      </c>
      <c r="O32" s="65" t="s">
        <v>151</v>
      </c>
      <c r="P32" s="68"/>
    </row>
    <row r="33" s="1" customFormat="1" ht="18.75" customHeight="1" spans="1:16">
      <c r="A33" s="228"/>
      <c r="B33" s="123"/>
      <c r="C33" s="124"/>
      <c r="D33" s="124"/>
      <c r="E33" s="116">
        <f t="shared" si="1"/>
        <v>42866384.6</v>
      </c>
      <c r="F33" s="120">
        <f>37799322.82+5067061.78</f>
        <v>42866384.6</v>
      </c>
      <c r="G33" s="120">
        <v>0</v>
      </c>
      <c r="H33" s="120">
        <v>0</v>
      </c>
      <c r="I33" s="120">
        <v>0</v>
      </c>
      <c r="J33" s="120">
        <v>0</v>
      </c>
      <c r="K33" s="120">
        <v>0</v>
      </c>
      <c r="L33" s="120">
        <v>0</v>
      </c>
      <c r="M33" s="120">
        <v>0</v>
      </c>
      <c r="N33" s="127" t="s">
        <v>78</v>
      </c>
      <c r="O33" s="65" t="s">
        <v>152</v>
      </c>
      <c r="P33" s="68"/>
    </row>
    <row r="34" s="1" customFormat="1" ht="19.5" customHeight="1" spans="1:17">
      <c r="A34" s="228"/>
      <c r="B34" s="123"/>
      <c r="C34" s="124"/>
      <c r="D34" s="124"/>
      <c r="E34" s="233">
        <f t="shared" si="1"/>
        <v>54379321.57</v>
      </c>
      <c r="F34" s="120">
        <f>(22776970-598000)-1422857.11</f>
        <v>20756112.89</v>
      </c>
      <c r="G34" s="234">
        <f>2397320+P34</f>
        <v>33623208.68</v>
      </c>
      <c r="H34" s="120">
        <v>0</v>
      </c>
      <c r="I34" s="120">
        <v>0</v>
      </c>
      <c r="J34" s="120">
        <v>0</v>
      </c>
      <c r="K34" s="120">
        <v>0</v>
      </c>
      <c r="L34" s="120">
        <v>0</v>
      </c>
      <c r="M34" s="120">
        <v>0</v>
      </c>
      <c r="N34" s="127" t="s">
        <v>73</v>
      </c>
      <c r="O34" s="65" t="s">
        <v>151</v>
      </c>
      <c r="P34" s="68">
        <f>30000000+1200000+25888.68</f>
        <v>31225888.68</v>
      </c>
      <c r="Q34" s="273"/>
    </row>
    <row r="35" s="1" customFormat="1" ht="16.5" customHeight="1" spans="1:16">
      <c r="A35" s="228"/>
      <c r="B35" s="123"/>
      <c r="C35" s="124"/>
      <c r="D35" s="124"/>
      <c r="E35" s="116">
        <f t="shared" si="1"/>
        <v>39422857.11</v>
      </c>
      <c r="F35" s="120">
        <v>1422857.11</v>
      </c>
      <c r="G35" s="120">
        <v>38000000</v>
      </c>
      <c r="H35" s="120">
        <v>0</v>
      </c>
      <c r="I35" s="120">
        <v>0</v>
      </c>
      <c r="J35" s="120">
        <v>0</v>
      </c>
      <c r="K35" s="120">
        <v>0</v>
      </c>
      <c r="L35" s="120">
        <v>0</v>
      </c>
      <c r="M35" s="120">
        <v>0</v>
      </c>
      <c r="N35" s="127" t="s">
        <v>73</v>
      </c>
      <c r="O35" s="65" t="s">
        <v>152</v>
      </c>
      <c r="P35" s="68"/>
    </row>
    <row r="36" ht="18.75" spans="1:16">
      <c r="A36" s="237" t="s">
        <v>36</v>
      </c>
      <c r="B36" s="237" t="s">
        <v>37</v>
      </c>
      <c r="C36" s="237"/>
      <c r="D36" s="237"/>
      <c r="E36" s="237"/>
      <c r="F36" s="237"/>
      <c r="G36" s="237"/>
      <c r="H36" s="237"/>
      <c r="I36" s="237"/>
      <c r="J36" s="237"/>
      <c r="K36" s="237"/>
      <c r="L36" s="237"/>
      <c r="M36" s="237"/>
      <c r="N36" s="237"/>
      <c r="O36" s="237"/>
      <c r="P36" s="237"/>
    </row>
    <row r="37" spans="1:16">
      <c r="A37" s="238" t="s">
        <v>38</v>
      </c>
      <c r="B37" s="222" t="s">
        <v>153</v>
      </c>
      <c r="C37" s="223" t="s">
        <v>144</v>
      </c>
      <c r="D37" s="223" t="s">
        <v>144</v>
      </c>
      <c r="E37" s="224">
        <f>F37+G37+H37+I37+J37+K37+L37+M37</f>
        <v>439144971.5</v>
      </c>
      <c r="F37" s="227">
        <f>F38+F39+F40+F41</f>
        <v>138310399.39</v>
      </c>
      <c r="G37" s="224">
        <f t="shared" ref="G37:M37" si="8">G38+G39+G40+G41</f>
        <v>140847518.73</v>
      </c>
      <c r="H37" s="227">
        <f t="shared" si="8"/>
        <v>79993526.69</v>
      </c>
      <c r="I37" s="227">
        <f t="shared" si="8"/>
        <v>79993526.69</v>
      </c>
      <c r="J37" s="227">
        <f t="shared" si="8"/>
        <v>0</v>
      </c>
      <c r="K37" s="227">
        <f t="shared" si="8"/>
        <v>0</v>
      </c>
      <c r="L37" s="227">
        <f t="shared" si="8"/>
        <v>0</v>
      </c>
      <c r="M37" s="227">
        <f t="shared" si="8"/>
        <v>0</v>
      </c>
      <c r="N37" s="259" t="s">
        <v>144</v>
      </c>
      <c r="O37" s="260" t="s">
        <v>144</v>
      </c>
      <c r="P37" s="227">
        <f>P38+P39+P40+P41</f>
        <v>3800000</v>
      </c>
    </row>
    <row r="38" spans="1:16">
      <c r="A38" s="238"/>
      <c r="B38" s="222"/>
      <c r="C38" s="223"/>
      <c r="D38" s="223"/>
      <c r="E38" s="227">
        <f t="shared" ref="E38:E56" si="9">F38+G38+H38+I38+J38</f>
        <v>105382544.87</v>
      </c>
      <c r="F38" s="227">
        <f>F50+F53</f>
        <v>84818282.07</v>
      </c>
      <c r="G38" s="227">
        <f>G50+G53</f>
        <v>20564262.8</v>
      </c>
      <c r="H38" s="227">
        <f t="shared" ref="H38:I38" si="10">H50+H53</f>
        <v>0</v>
      </c>
      <c r="I38" s="227">
        <f t="shared" si="10"/>
        <v>0</v>
      </c>
      <c r="J38" s="227">
        <f t="shared" ref="J38:M38" si="11">J50</f>
        <v>0</v>
      </c>
      <c r="K38" s="227">
        <f t="shared" si="11"/>
        <v>0</v>
      </c>
      <c r="L38" s="227">
        <f t="shared" si="11"/>
        <v>0</v>
      </c>
      <c r="M38" s="227">
        <f t="shared" si="11"/>
        <v>0</v>
      </c>
      <c r="N38" s="227" t="s">
        <v>14</v>
      </c>
      <c r="O38" s="263"/>
      <c r="P38" s="227">
        <f>P50+P53</f>
        <v>0</v>
      </c>
    </row>
    <row r="39" spans="1:16">
      <c r="A39" s="238"/>
      <c r="B39" s="222"/>
      <c r="C39" s="223"/>
      <c r="D39" s="223"/>
      <c r="E39" s="227">
        <f t="shared" si="9"/>
        <v>265287582.34</v>
      </c>
      <c r="F39" s="227">
        <f>F43+F54</f>
        <v>32086740.83</v>
      </c>
      <c r="G39" s="227">
        <f>G43+G54</f>
        <v>78013399.73</v>
      </c>
      <c r="H39" s="227">
        <f t="shared" ref="H39:I39" si="12">H43+H54</f>
        <v>77593720.89</v>
      </c>
      <c r="I39" s="227">
        <f t="shared" si="12"/>
        <v>77593720.89</v>
      </c>
      <c r="J39" s="227">
        <f t="shared" ref="J39:M39" si="13">J43</f>
        <v>0</v>
      </c>
      <c r="K39" s="227">
        <f t="shared" si="13"/>
        <v>0</v>
      </c>
      <c r="L39" s="227">
        <f t="shared" si="13"/>
        <v>0</v>
      </c>
      <c r="M39" s="227">
        <f t="shared" si="13"/>
        <v>0</v>
      </c>
      <c r="N39" s="259" t="s">
        <v>15</v>
      </c>
      <c r="O39" s="263"/>
      <c r="P39" s="227">
        <f>P43+P54</f>
        <v>0</v>
      </c>
    </row>
    <row r="40" spans="1:16">
      <c r="A40" s="238"/>
      <c r="B40" s="222"/>
      <c r="C40" s="223"/>
      <c r="D40" s="223"/>
      <c r="E40" s="227">
        <f t="shared" si="9"/>
        <v>9260500.17</v>
      </c>
      <c r="F40" s="227">
        <f>F44+F51+F56</f>
        <v>1849123.76</v>
      </c>
      <c r="G40" s="227">
        <f>G44+G51+G55</f>
        <v>2611764.81</v>
      </c>
      <c r="H40" s="227">
        <f t="shared" ref="H40:I40" si="14">H44+H51+H56</f>
        <v>2399805.8</v>
      </c>
      <c r="I40" s="227">
        <f t="shared" si="14"/>
        <v>2399805.8</v>
      </c>
      <c r="J40" s="227">
        <f>J44+J51</f>
        <v>0</v>
      </c>
      <c r="K40" s="227">
        <f>K44+K51</f>
        <v>0</v>
      </c>
      <c r="L40" s="227">
        <f>L44+L51</f>
        <v>0</v>
      </c>
      <c r="M40" s="227">
        <f>M44+M51</f>
        <v>0</v>
      </c>
      <c r="N40" s="259" t="s">
        <v>16</v>
      </c>
      <c r="O40" s="264"/>
      <c r="P40" s="227">
        <f>P44+P51+P55</f>
        <v>0</v>
      </c>
    </row>
    <row r="41" spans="1:17">
      <c r="A41" s="238"/>
      <c r="B41" s="222"/>
      <c r="C41" s="223"/>
      <c r="D41" s="223"/>
      <c r="E41" s="224">
        <f t="shared" si="9"/>
        <v>59214344.12</v>
      </c>
      <c r="F41" s="227">
        <f>F57+F56</f>
        <v>19556252.73</v>
      </c>
      <c r="G41" s="224">
        <f>G57+G56</f>
        <v>39658091.39</v>
      </c>
      <c r="H41" s="227">
        <f t="shared" ref="H41:M41" si="15">H57+H56</f>
        <v>0</v>
      </c>
      <c r="I41" s="227">
        <f t="shared" si="15"/>
        <v>0</v>
      </c>
      <c r="J41" s="227">
        <f t="shared" si="15"/>
        <v>0</v>
      </c>
      <c r="K41" s="227">
        <f t="shared" si="15"/>
        <v>0</v>
      </c>
      <c r="L41" s="227">
        <f t="shared" si="15"/>
        <v>0</v>
      </c>
      <c r="M41" s="227">
        <f t="shared" si="15"/>
        <v>0</v>
      </c>
      <c r="N41" s="227" t="s">
        <v>17</v>
      </c>
      <c r="O41" s="264"/>
      <c r="P41" s="227">
        <f>P57+P56</f>
        <v>3800000</v>
      </c>
      <c r="Q41" s="274"/>
    </row>
    <row r="42" ht="15.75" spans="1:16">
      <c r="A42" s="239" t="s">
        <v>40</v>
      </c>
      <c r="B42" s="240" t="s">
        <v>81</v>
      </c>
      <c r="C42" s="241" t="s">
        <v>154</v>
      </c>
      <c r="D42" s="242" t="s">
        <v>144</v>
      </c>
      <c r="E42" s="243">
        <f t="shared" si="9"/>
        <v>273059694.33</v>
      </c>
      <c r="F42" s="244">
        <f>SUM(F43:F44)</f>
        <v>33079114.26</v>
      </c>
      <c r="G42" s="244">
        <f t="shared" ref="G42:M42" si="16">SUM(G43:G44)</f>
        <v>79993526.69</v>
      </c>
      <c r="H42" s="244">
        <f t="shared" si="16"/>
        <v>79993526.69</v>
      </c>
      <c r="I42" s="244">
        <f t="shared" si="16"/>
        <v>79993526.69</v>
      </c>
      <c r="J42" s="244">
        <f t="shared" si="16"/>
        <v>0</v>
      </c>
      <c r="K42" s="244">
        <f t="shared" si="16"/>
        <v>0</v>
      </c>
      <c r="L42" s="244">
        <f t="shared" si="16"/>
        <v>0</v>
      </c>
      <c r="M42" s="244">
        <f t="shared" si="16"/>
        <v>0</v>
      </c>
      <c r="N42" s="265" t="s">
        <v>144</v>
      </c>
      <c r="O42" s="266" t="s">
        <v>155</v>
      </c>
      <c r="P42" s="244">
        <f>SUM(P43:P44)</f>
        <v>0</v>
      </c>
    </row>
    <row r="43" ht="15.75" spans="1:16">
      <c r="A43" s="239"/>
      <c r="B43" s="240"/>
      <c r="C43" s="241"/>
      <c r="D43" s="242"/>
      <c r="E43" s="243">
        <f t="shared" si="9"/>
        <v>264867903.5</v>
      </c>
      <c r="F43" s="245">
        <f t="shared" ref="F43:M43" si="17">F45+F46</f>
        <v>32086740.83</v>
      </c>
      <c r="G43" s="245">
        <f t="shared" si="17"/>
        <v>77593720.89</v>
      </c>
      <c r="H43" s="245">
        <f t="shared" si="17"/>
        <v>77593720.89</v>
      </c>
      <c r="I43" s="245">
        <f t="shared" si="17"/>
        <v>77593720.89</v>
      </c>
      <c r="J43" s="245">
        <f t="shared" si="17"/>
        <v>0</v>
      </c>
      <c r="K43" s="245">
        <f t="shared" si="17"/>
        <v>0</v>
      </c>
      <c r="L43" s="245">
        <f t="shared" si="17"/>
        <v>0</v>
      </c>
      <c r="M43" s="245">
        <f t="shared" si="17"/>
        <v>0</v>
      </c>
      <c r="N43" s="265" t="s">
        <v>15</v>
      </c>
      <c r="O43" s="266"/>
      <c r="P43" s="245">
        <f>P45+P46</f>
        <v>0</v>
      </c>
    </row>
    <row r="44" ht="19.5" customHeight="1" spans="1:16">
      <c r="A44" s="239"/>
      <c r="B44" s="240"/>
      <c r="C44" s="241"/>
      <c r="D44" s="242"/>
      <c r="E44" s="243">
        <f t="shared" si="9"/>
        <v>8191790.83</v>
      </c>
      <c r="F44" s="245">
        <f t="shared" ref="F44:M44" si="18">F47+F48</f>
        <v>992373.43</v>
      </c>
      <c r="G44" s="245">
        <f t="shared" si="18"/>
        <v>2399805.8</v>
      </c>
      <c r="H44" s="245">
        <f t="shared" si="18"/>
        <v>2399805.8</v>
      </c>
      <c r="I44" s="245">
        <f t="shared" si="18"/>
        <v>2399805.8</v>
      </c>
      <c r="J44" s="245">
        <f t="shared" si="18"/>
        <v>0</v>
      </c>
      <c r="K44" s="245">
        <f t="shared" si="18"/>
        <v>0</v>
      </c>
      <c r="L44" s="245">
        <f t="shared" si="18"/>
        <v>0</v>
      </c>
      <c r="M44" s="245">
        <f t="shared" si="18"/>
        <v>0</v>
      </c>
      <c r="N44" s="265" t="s">
        <v>16</v>
      </c>
      <c r="O44" s="266"/>
      <c r="P44" s="245">
        <f>P47+P48</f>
        <v>0</v>
      </c>
    </row>
    <row r="45" ht="15.75" customHeight="1" spans="1:16">
      <c r="A45" s="246" t="s">
        <v>42</v>
      </c>
      <c r="B45" s="123" t="s">
        <v>156</v>
      </c>
      <c r="C45" s="124" t="s">
        <v>154</v>
      </c>
      <c r="D45" s="124" t="s">
        <v>157</v>
      </c>
      <c r="E45" s="116">
        <f t="shared" si="9"/>
        <v>254182595.53</v>
      </c>
      <c r="F45" s="120">
        <f>26400000-3212200.47</f>
        <v>23187799.53</v>
      </c>
      <c r="G45" s="120">
        <v>75807354.22</v>
      </c>
      <c r="H45" s="120">
        <v>77593720.89</v>
      </c>
      <c r="I45" s="120">
        <v>77593720.89</v>
      </c>
      <c r="J45" s="120">
        <v>0</v>
      </c>
      <c r="K45" s="120">
        <v>0</v>
      </c>
      <c r="L45" s="120">
        <v>0</v>
      </c>
      <c r="M45" s="120">
        <v>0</v>
      </c>
      <c r="N45" s="127" t="s">
        <v>71</v>
      </c>
      <c r="O45" s="267" t="s">
        <v>105</v>
      </c>
      <c r="P45" s="258">
        <v>0</v>
      </c>
    </row>
    <row r="46" ht="15.75" spans="1:16">
      <c r="A46" s="246"/>
      <c r="B46" s="123"/>
      <c r="C46" s="124"/>
      <c r="D46" s="124"/>
      <c r="E46" s="116">
        <f t="shared" si="9"/>
        <v>10685307.97</v>
      </c>
      <c r="F46" s="120">
        <f>5686740.83+3212200.47</f>
        <v>8898941.3</v>
      </c>
      <c r="G46" s="120">
        <v>1786366.67</v>
      </c>
      <c r="H46" s="120">
        <v>0</v>
      </c>
      <c r="I46" s="120">
        <v>0</v>
      </c>
      <c r="J46" s="120">
        <v>0</v>
      </c>
      <c r="K46" s="120">
        <v>0</v>
      </c>
      <c r="L46" s="120">
        <v>0</v>
      </c>
      <c r="M46" s="120">
        <v>0</v>
      </c>
      <c r="N46" s="127" t="s">
        <v>71</v>
      </c>
      <c r="O46" s="267" t="s">
        <v>146</v>
      </c>
      <c r="P46" s="258">
        <v>0</v>
      </c>
    </row>
    <row r="47" ht="15.75" spans="1:16">
      <c r="A47" s="246"/>
      <c r="B47" s="123"/>
      <c r="C47" s="124"/>
      <c r="D47" s="124"/>
      <c r="E47" s="116">
        <f t="shared" si="9"/>
        <v>7861317.39</v>
      </c>
      <c r="F47" s="120">
        <f>816494.85-99346.41</f>
        <v>717148.44</v>
      </c>
      <c r="G47" s="120">
        <f>(2375317.99+24487.81)-55248.45</f>
        <v>2344557.35</v>
      </c>
      <c r="H47" s="120">
        <f>2375317.99+24487.81</f>
        <v>2399805.8</v>
      </c>
      <c r="I47" s="120">
        <f>2375317.99+24487.81</f>
        <v>2399805.8</v>
      </c>
      <c r="J47" s="120">
        <v>0</v>
      </c>
      <c r="K47" s="120">
        <v>0</v>
      </c>
      <c r="L47" s="120">
        <v>0</v>
      </c>
      <c r="M47" s="120">
        <v>0</v>
      </c>
      <c r="N47" s="127" t="s">
        <v>147</v>
      </c>
      <c r="O47" s="267" t="s">
        <v>105</v>
      </c>
      <c r="P47" s="258">
        <v>0</v>
      </c>
    </row>
    <row r="48" ht="15.75" customHeight="1" spans="1:16">
      <c r="A48" s="246"/>
      <c r="B48" s="123"/>
      <c r="C48" s="124"/>
      <c r="D48" s="124"/>
      <c r="E48" s="116">
        <f t="shared" si="9"/>
        <v>330473.44</v>
      </c>
      <c r="F48" s="120">
        <f>175878.58+99346.41</f>
        <v>275224.99</v>
      </c>
      <c r="G48" s="120">
        <v>55248.45</v>
      </c>
      <c r="H48" s="120">
        <v>0</v>
      </c>
      <c r="I48" s="120">
        <v>0</v>
      </c>
      <c r="J48" s="120">
        <v>0</v>
      </c>
      <c r="K48" s="120">
        <v>0</v>
      </c>
      <c r="L48" s="120">
        <v>0</v>
      </c>
      <c r="M48" s="120">
        <v>0</v>
      </c>
      <c r="N48" s="127" t="s">
        <v>147</v>
      </c>
      <c r="O48" s="267" t="s">
        <v>146</v>
      </c>
      <c r="P48" s="258">
        <v>0</v>
      </c>
    </row>
    <row r="49" ht="30" customHeight="1" spans="1:16">
      <c r="A49" s="246" t="s">
        <v>48</v>
      </c>
      <c r="B49" s="123" t="s">
        <v>184</v>
      </c>
      <c r="C49" s="124" t="s">
        <v>158</v>
      </c>
      <c r="D49" s="124">
        <v>2023</v>
      </c>
      <c r="E49" s="243">
        <f t="shared" si="9"/>
        <v>85675032.4</v>
      </c>
      <c r="F49" s="244">
        <f>SUM(F50:F51)</f>
        <v>85675032.4</v>
      </c>
      <c r="G49" s="244">
        <f>SUM(G50:G51)</f>
        <v>0</v>
      </c>
      <c r="H49" s="244">
        <f t="shared" ref="H49:M49" si="19">SUM(H50:H51)</f>
        <v>0</v>
      </c>
      <c r="I49" s="244">
        <f t="shared" si="19"/>
        <v>0</v>
      </c>
      <c r="J49" s="244">
        <f t="shared" si="19"/>
        <v>0</v>
      </c>
      <c r="K49" s="244">
        <f t="shared" si="19"/>
        <v>0</v>
      </c>
      <c r="L49" s="244">
        <f t="shared" si="19"/>
        <v>0</v>
      </c>
      <c r="M49" s="244">
        <f t="shared" si="19"/>
        <v>0</v>
      </c>
      <c r="N49" s="265" t="s">
        <v>144</v>
      </c>
      <c r="O49" s="268" t="s">
        <v>144</v>
      </c>
      <c r="P49" s="244">
        <f>SUM(P50:P51)</f>
        <v>0</v>
      </c>
    </row>
    <row r="50" ht="35.25" customHeight="1" spans="1:16">
      <c r="A50" s="246"/>
      <c r="B50" s="123"/>
      <c r="C50" s="124"/>
      <c r="D50" s="124"/>
      <c r="E50" s="116">
        <f t="shared" si="9"/>
        <v>84818282.07</v>
      </c>
      <c r="F50" s="120">
        <v>84818282.07</v>
      </c>
      <c r="G50" s="120">
        <v>0</v>
      </c>
      <c r="H50" s="120">
        <v>0</v>
      </c>
      <c r="I50" s="120">
        <v>0</v>
      </c>
      <c r="J50" s="120">
        <v>0</v>
      </c>
      <c r="K50" s="120">
        <v>0</v>
      </c>
      <c r="L50" s="120">
        <v>0</v>
      </c>
      <c r="M50" s="120">
        <v>0</v>
      </c>
      <c r="N50" s="127" t="s">
        <v>78</v>
      </c>
      <c r="O50" s="269" t="s">
        <v>105</v>
      </c>
      <c r="P50" s="258">
        <v>0</v>
      </c>
    </row>
    <row r="51" ht="15.75" spans="1:16">
      <c r="A51" s="246"/>
      <c r="B51" s="123"/>
      <c r="C51" s="124"/>
      <c r="D51" s="124"/>
      <c r="E51" s="116">
        <f t="shared" si="9"/>
        <v>856750.33</v>
      </c>
      <c r="F51" s="120">
        <v>856750.33</v>
      </c>
      <c r="G51" s="120">
        <v>0</v>
      </c>
      <c r="H51" s="120">
        <v>0</v>
      </c>
      <c r="I51" s="120">
        <v>0</v>
      </c>
      <c r="J51" s="120">
        <v>0</v>
      </c>
      <c r="K51" s="120">
        <v>0</v>
      </c>
      <c r="L51" s="120">
        <v>0</v>
      </c>
      <c r="M51" s="120">
        <v>0</v>
      </c>
      <c r="N51" s="127" t="s">
        <v>147</v>
      </c>
      <c r="O51" s="269"/>
      <c r="P51" s="258">
        <v>0</v>
      </c>
    </row>
    <row r="52" ht="23.25" customHeight="1" spans="1:16">
      <c r="A52" s="246" t="s">
        <v>83</v>
      </c>
      <c r="B52" s="123" t="s">
        <v>127</v>
      </c>
      <c r="C52" s="124" t="s">
        <v>159</v>
      </c>
      <c r="D52" s="124">
        <v>2024</v>
      </c>
      <c r="E52" s="247">
        <f t="shared" si="9"/>
        <v>47775540.19</v>
      </c>
      <c r="F52" s="244">
        <f>SUM(F53:F56)</f>
        <v>0</v>
      </c>
      <c r="G52" s="248">
        <f t="shared" ref="G52:M52" si="20">SUM(G53:G56)</f>
        <v>47775540.19</v>
      </c>
      <c r="H52" s="244">
        <f t="shared" si="20"/>
        <v>0</v>
      </c>
      <c r="I52" s="244">
        <f t="shared" si="20"/>
        <v>0</v>
      </c>
      <c r="J52" s="244">
        <f t="shared" si="20"/>
        <v>0</v>
      </c>
      <c r="K52" s="244">
        <f t="shared" si="20"/>
        <v>0</v>
      </c>
      <c r="L52" s="244">
        <f t="shared" si="20"/>
        <v>0</v>
      </c>
      <c r="M52" s="244">
        <f t="shared" si="20"/>
        <v>0</v>
      </c>
      <c r="N52" s="265" t="s">
        <v>144</v>
      </c>
      <c r="O52" s="268" t="s">
        <v>144</v>
      </c>
      <c r="P52" s="244">
        <f>SUM(P53:P56)</f>
        <v>2800000</v>
      </c>
    </row>
    <row r="53" ht="15.75" spans="1:16">
      <c r="A53" s="246"/>
      <c r="B53" s="123"/>
      <c r="C53" s="124"/>
      <c r="D53" s="124"/>
      <c r="E53" s="116">
        <f t="shared" si="9"/>
        <v>20564262.8</v>
      </c>
      <c r="F53" s="120">
        <v>0</v>
      </c>
      <c r="G53" s="120">
        <v>20564262.8</v>
      </c>
      <c r="H53" s="120">
        <v>0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7" t="s">
        <v>78</v>
      </c>
      <c r="O53" s="270" t="s">
        <v>105</v>
      </c>
      <c r="P53" s="258"/>
    </row>
    <row r="54" ht="15.75" spans="1:16">
      <c r="A54" s="246"/>
      <c r="B54" s="123"/>
      <c r="C54" s="124"/>
      <c r="D54" s="124"/>
      <c r="E54" s="116">
        <f t="shared" si="9"/>
        <v>419678.84</v>
      </c>
      <c r="F54" s="120">
        <v>0</v>
      </c>
      <c r="G54" s="120">
        <v>419678.84</v>
      </c>
      <c r="H54" s="120">
        <v>0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7" t="s">
        <v>71</v>
      </c>
      <c r="O54" s="270"/>
      <c r="P54" s="258"/>
    </row>
    <row r="55" ht="15.75" spans="1:16">
      <c r="A55" s="246"/>
      <c r="B55" s="123"/>
      <c r="C55" s="124"/>
      <c r="D55" s="124"/>
      <c r="E55" s="116">
        <f t="shared" si="9"/>
        <v>211959.01</v>
      </c>
      <c r="F55" s="120">
        <v>0</v>
      </c>
      <c r="G55" s="120">
        <v>211959.01</v>
      </c>
      <c r="H55" s="120">
        <v>0</v>
      </c>
      <c r="I55" s="120">
        <v>0</v>
      </c>
      <c r="J55" s="120">
        <v>0</v>
      </c>
      <c r="K55" s="120">
        <v>0</v>
      </c>
      <c r="L55" s="120">
        <v>0</v>
      </c>
      <c r="M55" s="120">
        <v>0</v>
      </c>
      <c r="N55" s="127" t="s">
        <v>147</v>
      </c>
      <c r="O55" s="270"/>
      <c r="P55" s="258"/>
    </row>
    <row r="56" ht="15.75" spans="1:16">
      <c r="A56" s="246"/>
      <c r="B56" s="123"/>
      <c r="C56" s="124"/>
      <c r="D56" s="124"/>
      <c r="E56" s="233">
        <f t="shared" si="9"/>
        <v>26579639.54</v>
      </c>
      <c r="F56" s="120">
        <v>0</v>
      </c>
      <c r="G56" s="234">
        <f>27000000-1938360.46-1282000+P56</f>
        <v>26579639.54</v>
      </c>
      <c r="H56" s="120">
        <v>0</v>
      </c>
      <c r="I56" s="120">
        <v>0</v>
      </c>
      <c r="J56" s="120">
        <v>0</v>
      </c>
      <c r="K56" s="120">
        <v>0</v>
      </c>
      <c r="L56" s="120">
        <v>0</v>
      </c>
      <c r="M56" s="120">
        <v>0</v>
      </c>
      <c r="N56" s="127" t="s">
        <v>73</v>
      </c>
      <c r="O56" s="270"/>
      <c r="P56" s="258">
        <f>2800000</f>
        <v>2800000</v>
      </c>
    </row>
    <row r="57" s="1" customFormat="1" ht="15.75" spans="1:17">
      <c r="A57" s="246" t="s">
        <v>128</v>
      </c>
      <c r="B57" s="123" t="s">
        <v>129</v>
      </c>
      <c r="C57" s="124" t="s">
        <v>145</v>
      </c>
      <c r="D57" s="124" t="s">
        <v>123</v>
      </c>
      <c r="E57" s="247">
        <f t="shared" ref="E57:E60" si="21">F57+G57+H57+I57+J57+K57+L57+M57</f>
        <v>32634704.58</v>
      </c>
      <c r="F57" s="245">
        <f>F59+F58+F60</f>
        <v>19556252.73</v>
      </c>
      <c r="G57" s="249">
        <f>G59+G58+G60</f>
        <v>13078451.85</v>
      </c>
      <c r="H57" s="245">
        <f t="shared" ref="H57:M57" si="22">H59+H58</f>
        <v>0</v>
      </c>
      <c r="I57" s="245">
        <f t="shared" si="22"/>
        <v>0</v>
      </c>
      <c r="J57" s="245">
        <f t="shared" si="22"/>
        <v>0</v>
      </c>
      <c r="K57" s="245">
        <f t="shared" si="22"/>
        <v>0</v>
      </c>
      <c r="L57" s="245">
        <f t="shared" si="22"/>
        <v>0</v>
      </c>
      <c r="M57" s="245">
        <f t="shared" si="22"/>
        <v>0</v>
      </c>
      <c r="N57" s="265" t="s">
        <v>144</v>
      </c>
      <c r="O57" s="268" t="s">
        <v>144</v>
      </c>
      <c r="P57" s="245">
        <f>P59+P58+P60</f>
        <v>1000000</v>
      </c>
      <c r="Q57" s="273"/>
    </row>
    <row r="58" s="1" customFormat="1" ht="15.75" spans="1:17">
      <c r="A58" s="246"/>
      <c r="B58" s="123"/>
      <c r="C58" s="124"/>
      <c r="D58" s="124"/>
      <c r="E58" s="250">
        <f t="shared" si="21"/>
        <v>23216344.12</v>
      </c>
      <c r="F58" s="120">
        <v>14358252.73</v>
      </c>
      <c r="G58" s="164">
        <f>1749443.35+249648.04+6859000+P58</f>
        <v>8858091.39</v>
      </c>
      <c r="H58" s="120">
        <v>0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7" t="s">
        <v>73</v>
      </c>
      <c r="O58" s="65" t="s">
        <v>105</v>
      </c>
      <c r="P58" s="68"/>
      <c r="Q58" s="273"/>
    </row>
    <row r="59" s="1" customFormat="1" ht="15.75" spans="1:16">
      <c r="A59" s="246"/>
      <c r="B59" s="123"/>
      <c r="C59" s="124"/>
      <c r="D59" s="124"/>
      <c r="E59" s="233">
        <f t="shared" si="21"/>
        <v>7538360.46</v>
      </c>
      <c r="F59" s="120">
        <v>4600000</v>
      </c>
      <c r="G59" s="234">
        <f>1938360.46+P59</f>
        <v>2938360.46</v>
      </c>
      <c r="H59" s="120">
        <v>0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7" t="s">
        <v>73</v>
      </c>
      <c r="O59" s="65" t="s">
        <v>146</v>
      </c>
      <c r="P59" s="68">
        <f>1000000</f>
        <v>1000000</v>
      </c>
    </row>
    <row r="60" s="1" customFormat="1" ht="28.5" spans="1:16">
      <c r="A60" s="246"/>
      <c r="B60" s="123"/>
      <c r="C60" s="124"/>
      <c r="D60" s="124"/>
      <c r="E60" s="116">
        <f t="shared" si="21"/>
        <v>1880000</v>
      </c>
      <c r="F60" s="120">
        <v>598000</v>
      </c>
      <c r="G60" s="120">
        <v>1282000</v>
      </c>
      <c r="H60" s="120">
        <v>0</v>
      </c>
      <c r="I60" s="120">
        <v>0</v>
      </c>
      <c r="J60" s="120">
        <v>0</v>
      </c>
      <c r="K60" s="120">
        <v>0</v>
      </c>
      <c r="L60" s="120">
        <v>0</v>
      </c>
      <c r="M60" s="120">
        <v>0</v>
      </c>
      <c r="N60" s="127" t="s">
        <v>73</v>
      </c>
      <c r="O60" s="131" t="s">
        <v>101</v>
      </c>
      <c r="P60" s="68"/>
    </row>
    <row r="61" ht="18.75" spans="1:16">
      <c r="A61" s="237" t="s">
        <v>55</v>
      </c>
      <c r="B61" s="237" t="s">
        <v>56</v>
      </c>
      <c r="C61" s="237"/>
      <c r="D61" s="237"/>
      <c r="E61" s="237"/>
      <c r="F61" s="237"/>
      <c r="G61" s="237"/>
      <c r="H61" s="237"/>
      <c r="I61" s="237"/>
      <c r="J61" s="237"/>
      <c r="K61" s="237"/>
      <c r="L61" s="237"/>
      <c r="M61" s="237"/>
      <c r="N61" s="237"/>
      <c r="O61" s="237"/>
      <c r="P61" s="237"/>
    </row>
    <row r="62" ht="15.75" spans="1:16">
      <c r="A62" s="238" t="s">
        <v>57</v>
      </c>
      <c r="B62" s="251" t="s">
        <v>160</v>
      </c>
      <c r="C62" s="222" t="s">
        <v>145</v>
      </c>
      <c r="D62" s="222" t="s">
        <v>150</v>
      </c>
      <c r="E62" s="226">
        <f t="shared" ref="E62:E68" si="23">F62+G62+H62+I62+J62</f>
        <v>18270070.83</v>
      </c>
      <c r="F62" s="252">
        <f>F63+F64</f>
        <v>8737726.51</v>
      </c>
      <c r="G62" s="253">
        <f t="shared" ref="G62:M62" si="24">G63+G64</f>
        <v>9532344.32</v>
      </c>
      <c r="H62" s="252">
        <f t="shared" si="24"/>
        <v>0</v>
      </c>
      <c r="I62" s="252">
        <f t="shared" si="24"/>
        <v>0</v>
      </c>
      <c r="J62" s="252">
        <f t="shared" si="24"/>
        <v>0</v>
      </c>
      <c r="K62" s="252">
        <f t="shared" si="24"/>
        <v>0</v>
      </c>
      <c r="L62" s="252">
        <f t="shared" si="24"/>
        <v>0</v>
      </c>
      <c r="M62" s="252">
        <f t="shared" si="24"/>
        <v>0</v>
      </c>
      <c r="N62" s="271" t="s">
        <v>10</v>
      </c>
      <c r="O62" s="263" t="s">
        <v>144</v>
      </c>
      <c r="P62" s="272">
        <f>P63+P64</f>
        <v>-2588867.8</v>
      </c>
    </row>
    <row r="63" ht="15.75" spans="1:16">
      <c r="A63" s="238"/>
      <c r="B63" s="251"/>
      <c r="C63" s="222"/>
      <c r="D63" s="222"/>
      <c r="E63" s="226">
        <f t="shared" si="23"/>
        <v>18077020.12</v>
      </c>
      <c r="F63" s="252">
        <f>F65+F66</f>
        <v>8639999.24</v>
      </c>
      <c r="G63" s="253">
        <f t="shared" ref="G63:M63" si="25">G65+G66</f>
        <v>9437020.88</v>
      </c>
      <c r="H63" s="252">
        <f t="shared" si="25"/>
        <v>0</v>
      </c>
      <c r="I63" s="252">
        <f t="shared" si="25"/>
        <v>0</v>
      </c>
      <c r="J63" s="252">
        <f t="shared" si="25"/>
        <v>0</v>
      </c>
      <c r="K63" s="252">
        <f t="shared" si="25"/>
        <v>0</v>
      </c>
      <c r="L63" s="252">
        <f t="shared" si="25"/>
        <v>0</v>
      </c>
      <c r="M63" s="252">
        <f t="shared" si="25"/>
        <v>0</v>
      </c>
      <c r="N63" s="271" t="s">
        <v>15</v>
      </c>
      <c r="O63" s="263" t="s">
        <v>144</v>
      </c>
      <c r="P63" s="272">
        <f>P65+P66</f>
        <v>-2562979.12</v>
      </c>
    </row>
    <row r="64" ht="15.75" spans="1:16">
      <c r="A64" s="238"/>
      <c r="B64" s="251"/>
      <c r="C64" s="222"/>
      <c r="D64" s="222"/>
      <c r="E64" s="226">
        <f t="shared" si="23"/>
        <v>193050.71</v>
      </c>
      <c r="F64" s="252">
        <f>F67+F68</f>
        <v>97727.27</v>
      </c>
      <c r="G64" s="253">
        <f t="shared" ref="G64:M64" si="26">G67+G68</f>
        <v>95323.44</v>
      </c>
      <c r="H64" s="252">
        <f t="shared" si="26"/>
        <v>0</v>
      </c>
      <c r="I64" s="252">
        <f t="shared" si="26"/>
        <v>0</v>
      </c>
      <c r="J64" s="252">
        <f t="shared" si="26"/>
        <v>0</v>
      </c>
      <c r="K64" s="252">
        <f t="shared" si="26"/>
        <v>0</v>
      </c>
      <c r="L64" s="252">
        <f t="shared" si="26"/>
        <v>0</v>
      </c>
      <c r="M64" s="252">
        <f t="shared" si="26"/>
        <v>0</v>
      </c>
      <c r="N64" s="271" t="s">
        <v>16</v>
      </c>
      <c r="O64" s="263" t="s">
        <v>144</v>
      </c>
      <c r="P64" s="272">
        <f>P67+P68</f>
        <v>-25888.68</v>
      </c>
    </row>
    <row r="65" ht="15.75" spans="1:16">
      <c r="A65" s="246" t="s">
        <v>59</v>
      </c>
      <c r="B65" s="123" t="s">
        <v>86</v>
      </c>
      <c r="C65" s="124" t="s">
        <v>145</v>
      </c>
      <c r="D65" s="124" t="s">
        <v>150</v>
      </c>
      <c r="E65" s="275">
        <f t="shared" si="23"/>
        <v>18077020.12</v>
      </c>
      <c r="F65" s="120">
        <f>9674999.52-1035000.28</f>
        <v>8639999.24</v>
      </c>
      <c r="G65" s="234">
        <f>12000000+P65</f>
        <v>9437020.88</v>
      </c>
      <c r="H65" s="120">
        <v>0</v>
      </c>
      <c r="I65" s="120">
        <v>0</v>
      </c>
      <c r="J65" s="120">
        <v>0</v>
      </c>
      <c r="K65" s="120">
        <v>0</v>
      </c>
      <c r="L65" s="120">
        <v>0</v>
      </c>
      <c r="M65" s="120">
        <v>0</v>
      </c>
      <c r="N65" s="127" t="s">
        <v>161</v>
      </c>
      <c r="O65" s="267" t="s">
        <v>105</v>
      </c>
      <c r="P65" s="137">
        <f>-2562979.12</f>
        <v>-2562979.12</v>
      </c>
    </row>
    <row r="66" ht="15.75" spans="1:16">
      <c r="A66" s="246"/>
      <c r="B66" s="123"/>
      <c r="C66" s="124"/>
      <c r="D66" s="124"/>
      <c r="E66" s="118">
        <f t="shared" si="23"/>
        <v>0</v>
      </c>
      <c r="F66" s="120">
        <v>0</v>
      </c>
      <c r="G66" s="120">
        <v>0</v>
      </c>
      <c r="H66" s="120">
        <v>0</v>
      </c>
      <c r="I66" s="120">
        <v>0</v>
      </c>
      <c r="J66" s="120">
        <v>0</v>
      </c>
      <c r="K66" s="120">
        <v>0</v>
      </c>
      <c r="L66" s="120">
        <v>0</v>
      </c>
      <c r="M66" s="120">
        <v>0</v>
      </c>
      <c r="N66" s="127" t="s">
        <v>161</v>
      </c>
      <c r="O66" s="267" t="s">
        <v>146</v>
      </c>
      <c r="P66" s="285"/>
    </row>
    <row r="67" ht="15.75" spans="1:16">
      <c r="A67" s="246"/>
      <c r="B67" s="123"/>
      <c r="C67" s="124"/>
      <c r="D67" s="124"/>
      <c r="E67" s="275">
        <f t="shared" si="23"/>
        <v>193050.71</v>
      </c>
      <c r="F67" s="120">
        <v>97727.27</v>
      </c>
      <c r="G67" s="234">
        <f>121212.12+P67</f>
        <v>95323.44</v>
      </c>
      <c r="H67" s="120">
        <v>0</v>
      </c>
      <c r="I67" s="120">
        <v>0</v>
      </c>
      <c r="J67" s="120">
        <v>0</v>
      </c>
      <c r="K67" s="120">
        <v>0</v>
      </c>
      <c r="L67" s="120">
        <v>0</v>
      </c>
      <c r="M67" s="120">
        <v>0</v>
      </c>
      <c r="N67" s="127" t="s">
        <v>147</v>
      </c>
      <c r="O67" s="267" t="s">
        <v>105</v>
      </c>
      <c r="P67" s="286">
        <f>-25888.68</f>
        <v>-25888.68</v>
      </c>
    </row>
    <row r="68" ht="15.75" spans="1:16">
      <c r="A68" s="246"/>
      <c r="B68" s="123"/>
      <c r="C68" s="124"/>
      <c r="D68" s="124"/>
      <c r="E68" s="118">
        <f t="shared" si="23"/>
        <v>0</v>
      </c>
      <c r="F68" s="120">
        <v>0</v>
      </c>
      <c r="G68" s="120">
        <v>0</v>
      </c>
      <c r="H68" s="120">
        <v>0</v>
      </c>
      <c r="I68" s="120">
        <v>0</v>
      </c>
      <c r="J68" s="120">
        <v>0</v>
      </c>
      <c r="K68" s="120">
        <v>0</v>
      </c>
      <c r="L68" s="120">
        <v>0</v>
      </c>
      <c r="M68" s="120">
        <v>0</v>
      </c>
      <c r="N68" s="127" t="s">
        <v>16</v>
      </c>
      <c r="O68" s="267" t="s">
        <v>162</v>
      </c>
      <c r="P68" s="285"/>
    </row>
    <row r="69" ht="16.5" customHeight="1" spans="1:16">
      <c r="A69" s="276" t="s">
        <v>163</v>
      </c>
      <c r="B69" s="277" t="s">
        <v>185</v>
      </c>
      <c r="C69" s="276" t="s">
        <v>144</v>
      </c>
      <c r="D69" s="276" t="s">
        <v>144</v>
      </c>
      <c r="E69" s="278">
        <f t="shared" ref="E69:E73" si="27">SUM(F69:J69)</f>
        <v>752031935.13</v>
      </c>
      <c r="F69" s="279">
        <f>F70+F71+F72+F73</f>
        <v>311612202.48</v>
      </c>
      <c r="G69" s="278">
        <f>G70+G71+G72+G73</f>
        <v>280432679.27</v>
      </c>
      <c r="H69" s="279">
        <f t="shared" ref="H69:M69" si="28">H70+H71+H72+H73</f>
        <v>79993526.69</v>
      </c>
      <c r="I69" s="279">
        <f t="shared" si="28"/>
        <v>79993526.69</v>
      </c>
      <c r="J69" s="279">
        <f t="shared" si="28"/>
        <v>0</v>
      </c>
      <c r="K69" s="279">
        <f t="shared" si="28"/>
        <v>0</v>
      </c>
      <c r="L69" s="279">
        <f t="shared" si="28"/>
        <v>0</v>
      </c>
      <c r="M69" s="279">
        <f t="shared" si="28"/>
        <v>0</v>
      </c>
      <c r="N69" s="287" t="s">
        <v>4</v>
      </c>
      <c r="O69" s="279" t="s">
        <v>144</v>
      </c>
      <c r="P69" s="279">
        <f>P70+P71+P72+P73</f>
        <v>32937020.88</v>
      </c>
    </row>
    <row r="70" ht="18.75" spans="1:16">
      <c r="A70" s="276" t="s">
        <v>164</v>
      </c>
      <c r="B70" s="277"/>
      <c r="C70" s="276" t="s">
        <v>144</v>
      </c>
      <c r="D70" s="276" t="s">
        <v>144</v>
      </c>
      <c r="E70" s="279">
        <f t="shared" si="27"/>
        <v>283463301.36</v>
      </c>
      <c r="F70" s="280">
        <f t="shared" ref="F70:M70" si="29">F19+F38</f>
        <v>226297399.5</v>
      </c>
      <c r="G70" s="280">
        <f t="shared" si="29"/>
        <v>57165901.86</v>
      </c>
      <c r="H70" s="280">
        <f t="shared" si="29"/>
        <v>0</v>
      </c>
      <c r="I70" s="280">
        <f t="shared" si="29"/>
        <v>0</v>
      </c>
      <c r="J70" s="280">
        <f t="shared" si="29"/>
        <v>0</v>
      </c>
      <c r="K70" s="280">
        <f t="shared" si="29"/>
        <v>0</v>
      </c>
      <c r="L70" s="280">
        <f t="shared" si="29"/>
        <v>0</v>
      </c>
      <c r="M70" s="280">
        <f t="shared" si="29"/>
        <v>0</v>
      </c>
      <c r="N70" s="287" t="s">
        <v>14</v>
      </c>
      <c r="O70" s="279" t="s">
        <v>144</v>
      </c>
      <c r="P70" s="280">
        <f>P19+P38</f>
        <v>0</v>
      </c>
    </row>
    <row r="71" ht="18.75" spans="1:16">
      <c r="A71" s="276" t="s">
        <v>165</v>
      </c>
      <c r="B71" s="277"/>
      <c r="C71" s="276" t="s">
        <v>144</v>
      </c>
      <c r="D71" s="276" t="s">
        <v>144</v>
      </c>
      <c r="E71" s="278">
        <f t="shared" si="27"/>
        <v>284835638.31</v>
      </c>
      <c r="F71" s="280">
        <f t="shared" ref="F71:M72" si="30">F20+F39+F63</f>
        <v>41450803.69</v>
      </c>
      <c r="G71" s="281">
        <f t="shared" si="30"/>
        <v>88197392.84</v>
      </c>
      <c r="H71" s="280">
        <f t="shared" si="30"/>
        <v>77593720.89</v>
      </c>
      <c r="I71" s="280">
        <f t="shared" si="30"/>
        <v>77593720.89</v>
      </c>
      <c r="J71" s="280">
        <f t="shared" si="30"/>
        <v>0</v>
      </c>
      <c r="K71" s="280">
        <f t="shared" si="30"/>
        <v>0</v>
      </c>
      <c r="L71" s="280">
        <f t="shared" si="30"/>
        <v>0</v>
      </c>
      <c r="M71" s="280">
        <f t="shared" si="30"/>
        <v>0</v>
      </c>
      <c r="N71" s="287" t="s">
        <v>71</v>
      </c>
      <c r="O71" s="279" t="s">
        <v>144</v>
      </c>
      <c r="P71" s="288">
        <f t="shared" ref="P71:P72" si="31">P20+P39+P63</f>
        <v>-2562979.12</v>
      </c>
    </row>
    <row r="72" ht="18.75" customHeight="1" spans="1:16">
      <c r="A72" s="276" t="s">
        <v>166</v>
      </c>
      <c r="B72" s="277"/>
      <c r="C72" s="276" t="s">
        <v>144</v>
      </c>
      <c r="D72" s="276" t="s">
        <v>144</v>
      </c>
      <c r="E72" s="278">
        <f t="shared" si="27"/>
        <v>9823157.88</v>
      </c>
      <c r="F72" s="280">
        <f t="shared" si="30"/>
        <v>2128776.56</v>
      </c>
      <c r="G72" s="281">
        <f t="shared" si="30"/>
        <v>2894769.72</v>
      </c>
      <c r="H72" s="280">
        <f t="shared" si="30"/>
        <v>2399805.8</v>
      </c>
      <c r="I72" s="280">
        <f t="shared" si="30"/>
        <v>2399805.8</v>
      </c>
      <c r="J72" s="280">
        <f t="shared" si="30"/>
        <v>0</v>
      </c>
      <c r="K72" s="280">
        <f t="shared" si="30"/>
        <v>0</v>
      </c>
      <c r="L72" s="280">
        <f t="shared" si="30"/>
        <v>0</v>
      </c>
      <c r="M72" s="280">
        <f t="shared" si="30"/>
        <v>0</v>
      </c>
      <c r="N72" s="287" t="s">
        <v>16</v>
      </c>
      <c r="O72" s="279" t="s">
        <v>144</v>
      </c>
      <c r="P72" s="288">
        <f t="shared" si="31"/>
        <v>-25888.68</v>
      </c>
    </row>
    <row r="73" ht="18.75" customHeight="1" spans="1:16">
      <c r="A73" s="276" t="s">
        <v>167</v>
      </c>
      <c r="B73" s="277"/>
      <c r="C73" s="276" t="s">
        <v>144</v>
      </c>
      <c r="D73" s="276" t="s">
        <v>144</v>
      </c>
      <c r="E73" s="278">
        <f t="shared" si="27"/>
        <v>173909837.58</v>
      </c>
      <c r="F73" s="282">
        <f>F41+F22</f>
        <v>41735222.73</v>
      </c>
      <c r="G73" s="283">
        <f>G41+G22</f>
        <v>132174614.85</v>
      </c>
      <c r="H73" s="282">
        <f t="shared" ref="H73:M73" si="32">H41</f>
        <v>0</v>
      </c>
      <c r="I73" s="282">
        <f t="shared" si="32"/>
        <v>0</v>
      </c>
      <c r="J73" s="282">
        <f t="shared" si="32"/>
        <v>0</v>
      </c>
      <c r="K73" s="282">
        <f t="shared" si="32"/>
        <v>0</v>
      </c>
      <c r="L73" s="282">
        <f t="shared" si="32"/>
        <v>0</v>
      </c>
      <c r="M73" s="282">
        <f t="shared" si="32"/>
        <v>0</v>
      </c>
      <c r="N73" s="287" t="s">
        <v>73</v>
      </c>
      <c r="O73" s="279" t="s">
        <v>144</v>
      </c>
      <c r="P73" s="282">
        <f>P41+P22</f>
        <v>35525888.68</v>
      </c>
    </row>
    <row r="74" ht="18.75" spans="1:16">
      <c r="A74" s="284" t="s">
        <v>186</v>
      </c>
      <c r="B74" s="284"/>
      <c r="C74" s="284"/>
      <c r="D74" s="284"/>
      <c r="E74" s="102"/>
      <c r="F74" s="102"/>
      <c r="G74" s="102"/>
      <c r="H74" s="102"/>
      <c r="I74" s="102"/>
      <c r="J74" s="102"/>
      <c r="K74" s="102"/>
      <c r="L74" s="102"/>
      <c r="M74" s="102"/>
      <c r="N74" s="287"/>
      <c r="O74" s="289"/>
      <c r="P74" s="290"/>
    </row>
    <row r="75" ht="15.75" spans="1:14">
      <c r="A75" s="83"/>
      <c r="B75" s="84"/>
      <c r="C75" s="84"/>
      <c r="D75" s="84"/>
      <c r="E75" s="85"/>
      <c r="F75" s="83"/>
      <c r="G75" s="83"/>
      <c r="H75" s="83"/>
      <c r="I75" s="83"/>
      <c r="J75" s="93"/>
      <c r="K75" s="93"/>
      <c r="L75" s="93"/>
      <c r="M75" s="93"/>
      <c r="N75" s="93"/>
    </row>
    <row r="76" ht="18.75" spans="1:15">
      <c r="A76" s="83"/>
      <c r="B76" s="86" t="s">
        <v>187</v>
      </c>
      <c r="I76" s="8"/>
      <c r="J76" s="29"/>
      <c r="K76" s="95" t="s">
        <v>87</v>
      </c>
      <c r="L76" s="95"/>
      <c r="M76" s="95"/>
      <c r="N76" s="96">
        <v>178063747.64</v>
      </c>
      <c r="O76" s="96"/>
    </row>
    <row r="77" s="1" customFormat="1" ht="18.75" spans="1:16">
      <c r="A77" s="83"/>
      <c r="B77" s="86"/>
      <c r="C77" s="3"/>
      <c r="D77" s="3"/>
      <c r="E77" s="3"/>
      <c r="F77" s="3"/>
      <c r="G77" s="3"/>
      <c r="H77" s="3"/>
      <c r="J77" s="29"/>
      <c r="K77" s="95" t="s">
        <v>88</v>
      </c>
      <c r="L77" s="95"/>
      <c r="M77" s="95"/>
      <c r="N77" s="96">
        <v>506829756.46</v>
      </c>
      <c r="O77" s="96"/>
      <c r="P77" s="98"/>
    </row>
    <row r="78" s="1" customFormat="1" ht="18.75" spans="1:16">
      <c r="A78" s="83"/>
      <c r="B78" s="86" t="s">
        <v>188</v>
      </c>
      <c r="C78" s="3"/>
      <c r="D78" s="3"/>
      <c r="E78" s="3"/>
      <c r="F78" s="3"/>
      <c r="G78" s="3"/>
      <c r="H78" s="3"/>
      <c r="J78" s="29"/>
      <c r="K78" s="99" t="s">
        <v>157</v>
      </c>
      <c r="L78" s="99"/>
      <c r="M78" s="99"/>
      <c r="N78" s="100">
        <f>SUM(N79:O82)</f>
        <v>752031935.13</v>
      </c>
      <c r="O78" s="100"/>
      <c r="P78" s="98"/>
    </row>
    <row r="79" s="1" customFormat="1" ht="18.75" spans="1:16">
      <c r="A79" s="83"/>
      <c r="B79" s="86" t="s">
        <v>189</v>
      </c>
      <c r="C79" s="3"/>
      <c r="D79" s="3"/>
      <c r="E79" s="3"/>
      <c r="F79" s="3"/>
      <c r="G79" s="3"/>
      <c r="H79" s="3"/>
      <c r="J79" s="29"/>
      <c r="K79" s="101" t="s">
        <v>157</v>
      </c>
      <c r="L79" s="101"/>
      <c r="M79" s="102" t="s">
        <v>14</v>
      </c>
      <c r="N79" s="103">
        <f t="shared" ref="N79:N82" si="33">F70+G70+H70+I70</f>
        <v>283463301.36</v>
      </c>
      <c r="O79" s="103"/>
      <c r="P79" s="98"/>
    </row>
    <row r="80" s="1" customFormat="1" ht="18.75" spans="1:16">
      <c r="A80" s="83"/>
      <c r="B80" s="86" t="s">
        <v>190</v>
      </c>
      <c r="C80" s="3"/>
      <c r="D80" s="3"/>
      <c r="E80" s="3"/>
      <c r="F80" s="3"/>
      <c r="G80" s="3"/>
      <c r="H80" s="3"/>
      <c r="J80" s="29"/>
      <c r="K80" s="101" t="s">
        <v>157</v>
      </c>
      <c r="L80" s="101"/>
      <c r="M80" s="102" t="s">
        <v>71</v>
      </c>
      <c r="N80" s="103">
        <f t="shared" si="33"/>
        <v>284835638.31</v>
      </c>
      <c r="O80" s="103"/>
      <c r="P80" s="98"/>
    </row>
    <row r="81" s="1" customFormat="1" ht="18.75" spans="1:16">
      <c r="A81" s="83"/>
      <c r="B81" s="86" t="s">
        <v>191</v>
      </c>
      <c r="C81" s="3"/>
      <c r="D81" s="3"/>
      <c r="E81" s="3"/>
      <c r="F81" s="3"/>
      <c r="G81" s="3"/>
      <c r="H81" s="3"/>
      <c r="J81" s="29"/>
      <c r="K81" s="101" t="s">
        <v>157</v>
      </c>
      <c r="L81" s="101"/>
      <c r="M81" s="102" t="s">
        <v>16</v>
      </c>
      <c r="N81" s="103">
        <f t="shared" si="33"/>
        <v>9823157.88</v>
      </c>
      <c r="O81" s="103"/>
      <c r="P81" s="291">
        <f>N81+N82</f>
        <v>183732995.46</v>
      </c>
    </row>
    <row r="82" s="1" customFormat="1" ht="18.75" spans="1:16">
      <c r="A82" s="83"/>
      <c r="B82" s="87" t="s">
        <v>192</v>
      </c>
      <c r="C82" s="87"/>
      <c r="D82" s="87"/>
      <c r="E82" s="87"/>
      <c r="F82" s="87"/>
      <c r="G82" s="87"/>
      <c r="H82" s="87"/>
      <c r="J82" s="29"/>
      <c r="K82" s="101" t="s">
        <v>157</v>
      </c>
      <c r="L82" s="101"/>
      <c r="M82" s="102" t="s">
        <v>73</v>
      </c>
      <c r="N82" s="103">
        <f t="shared" si="33"/>
        <v>173909837.58</v>
      </c>
      <c r="O82" s="103"/>
      <c r="P82" s="291"/>
    </row>
    <row r="83" s="1" customFormat="1" ht="18.75" spans="1:16">
      <c r="A83" s="83"/>
      <c r="B83" s="86" t="s">
        <v>193</v>
      </c>
      <c r="C83" s="3"/>
      <c r="D83" s="3"/>
      <c r="E83" s="3"/>
      <c r="F83" s="3"/>
      <c r="G83" s="3"/>
      <c r="H83" s="3"/>
      <c r="J83" s="29"/>
      <c r="K83" s="95" t="s">
        <v>194</v>
      </c>
      <c r="L83" s="95"/>
      <c r="M83" s="95"/>
      <c r="N83" s="96">
        <f>J69+K69+L69+M69</f>
        <v>0</v>
      </c>
      <c r="O83" s="96"/>
      <c r="P83" s="98"/>
    </row>
    <row r="84" ht="18.75" spans="2:15">
      <c r="B84" s="86" t="s">
        <v>195</v>
      </c>
      <c r="I84" s="83"/>
      <c r="J84" s="29"/>
      <c r="K84" s="29"/>
      <c r="L84" s="29"/>
      <c r="M84" s="29"/>
      <c r="N84" s="111">
        <f>N83+N78+N77+N76</f>
        <v>1436925439.23</v>
      </c>
      <c r="O84" s="112"/>
    </row>
    <row r="85" ht="18.75" spans="2:2">
      <c r="B85" s="86" t="s">
        <v>196</v>
      </c>
    </row>
    <row r="86" ht="18.75" spans="2:2">
      <c r="B86" s="86" t="s">
        <v>197</v>
      </c>
    </row>
    <row r="96" ht="38.25" customHeight="1"/>
    <row r="97" s="2" customFormat="1" spans="1:16">
      <c r="A97" s="3"/>
      <c r="I97" s="3"/>
      <c r="J97" s="3"/>
      <c r="K97" s="3"/>
      <c r="L97" s="3"/>
      <c r="M97" s="3"/>
      <c r="N97" s="4" t="s">
        <v>125</v>
      </c>
      <c r="O97" s="5"/>
      <c r="P97" s="3"/>
    </row>
  </sheetData>
  <mergeCells count="82">
    <mergeCell ref="J2:L2"/>
    <mergeCell ref="B11:G11"/>
    <mergeCell ref="E13:M13"/>
    <mergeCell ref="F14:M14"/>
    <mergeCell ref="B17:P17"/>
    <mergeCell ref="B36:P36"/>
    <mergeCell ref="B61:P61"/>
    <mergeCell ref="A74:D74"/>
    <mergeCell ref="K76:M76"/>
    <mergeCell ref="N76:O76"/>
    <mergeCell ref="K77:M77"/>
    <mergeCell ref="N77:O77"/>
    <mergeCell ref="K78:M78"/>
    <mergeCell ref="N78:O78"/>
    <mergeCell ref="K79:L79"/>
    <mergeCell ref="N79:O79"/>
    <mergeCell ref="K80:L80"/>
    <mergeCell ref="N80:O80"/>
    <mergeCell ref="K81:L81"/>
    <mergeCell ref="N81:O81"/>
    <mergeCell ref="B82:H82"/>
    <mergeCell ref="K82:L82"/>
    <mergeCell ref="N82:O82"/>
    <mergeCell ref="K83:M83"/>
    <mergeCell ref="N83:O83"/>
    <mergeCell ref="N84:O84"/>
    <mergeCell ref="A13:A15"/>
    <mergeCell ref="A18:A22"/>
    <mergeCell ref="A23:A30"/>
    <mergeCell ref="A31:A35"/>
    <mergeCell ref="A37:A41"/>
    <mergeCell ref="A42:A44"/>
    <mergeCell ref="A45:A48"/>
    <mergeCell ref="A49:A51"/>
    <mergeCell ref="A52:A56"/>
    <mergeCell ref="A57:A60"/>
    <mergeCell ref="A62:A64"/>
    <mergeCell ref="A65:A68"/>
    <mergeCell ref="B13:B15"/>
    <mergeCell ref="B18:B22"/>
    <mergeCell ref="B23:B30"/>
    <mergeCell ref="B31:B35"/>
    <mergeCell ref="B37:B41"/>
    <mergeCell ref="B42:B44"/>
    <mergeCell ref="B45:B48"/>
    <mergeCell ref="B49:B51"/>
    <mergeCell ref="B52:B56"/>
    <mergeCell ref="B57:B60"/>
    <mergeCell ref="B62:B64"/>
    <mergeCell ref="B65:B68"/>
    <mergeCell ref="B69:B73"/>
    <mergeCell ref="C13:C15"/>
    <mergeCell ref="C18:C22"/>
    <mergeCell ref="C23:C30"/>
    <mergeCell ref="C31:C35"/>
    <mergeCell ref="C37:C41"/>
    <mergeCell ref="C42:C44"/>
    <mergeCell ref="C45:C48"/>
    <mergeCell ref="C49:C51"/>
    <mergeCell ref="C52:C56"/>
    <mergeCell ref="C57:C60"/>
    <mergeCell ref="C62:C64"/>
    <mergeCell ref="C65:C68"/>
    <mergeCell ref="D13:D15"/>
    <mergeCell ref="D18:D22"/>
    <mergeCell ref="D23:D30"/>
    <mergeCell ref="D31:D35"/>
    <mergeCell ref="D37:D41"/>
    <mergeCell ref="D42:D44"/>
    <mergeCell ref="D45:D48"/>
    <mergeCell ref="D49:D51"/>
    <mergeCell ref="D52:D56"/>
    <mergeCell ref="D57:D60"/>
    <mergeCell ref="D62:D64"/>
    <mergeCell ref="D65:D68"/>
    <mergeCell ref="N13:N15"/>
    <mergeCell ref="O13:O15"/>
    <mergeCell ref="O42:O44"/>
    <mergeCell ref="O50:O51"/>
    <mergeCell ref="O53:O56"/>
    <mergeCell ref="P13:P15"/>
    <mergeCell ref="P81:P82"/>
  </mergeCells>
  <pageMargins left="0.393700787401575" right="0.393700787401575" top="0.393700787401575" bottom="0.393700787401575" header="0" footer="0"/>
  <pageSetup paperSize="9" scale="70" fitToHeight="0" orientation="landscape" blackAndWhite="1" horizontalDpi="600" verticalDpi="600"/>
  <headerFooter>
    <oddHeader>&amp;C&amp;A</oddHeader>
    <oddFooter>&amp;C&amp;D
&amp;T&amp;R&amp;F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01"/>
  <sheetViews>
    <sheetView tabSelected="1" topLeftCell="A36" workbookViewId="0">
      <selection activeCell="I56" sqref="I56:I57"/>
    </sheetView>
  </sheetViews>
  <sheetFormatPr defaultColWidth="39" defaultRowHeight="15"/>
  <cols>
    <col min="1" max="1" width="7.85714285714286" style="3" customWidth="1"/>
    <col min="2" max="2" width="38.4285714285714" style="3" customWidth="1"/>
    <col min="3" max="3" width="7.57142857142857" style="3" customWidth="1"/>
    <col min="4" max="4" width="8.57142857142857" style="3" customWidth="1"/>
    <col min="5" max="5" width="18" style="2" customWidth="1"/>
    <col min="6" max="7" width="16.5714285714286" style="2" customWidth="1"/>
    <col min="8" max="10" width="18.1428571428571" style="2" customWidth="1"/>
    <col min="11" max="12" width="6.71428571428571" style="3" customWidth="1"/>
    <col min="13" max="13" width="9.14285714285714" style="3" customWidth="1"/>
    <col min="14" max="14" width="9.85714285714286" style="4" customWidth="1"/>
    <col min="15" max="15" width="11.1428571428571" style="5" customWidth="1"/>
    <col min="16" max="16" width="14.7142857142857" style="6" hidden="1" customWidth="1"/>
    <col min="17" max="17" width="39" style="7" hidden="1" customWidth="1"/>
    <col min="18" max="18" width="16.4190476190476" style="141" customWidth="1"/>
    <col min="19" max="16384" width="39" style="8"/>
  </cols>
  <sheetData>
    <row r="1" ht="18.75" hidden="1" spans="6:13">
      <c r="F1" s="9">
        <v>2023</v>
      </c>
      <c r="G1" s="9">
        <v>2024</v>
      </c>
      <c r="H1" s="9">
        <v>2025</v>
      </c>
      <c r="I1" s="9">
        <v>2026</v>
      </c>
      <c r="J1" s="9">
        <v>2027</v>
      </c>
      <c r="K1" s="46">
        <v>2028</v>
      </c>
      <c r="L1" s="46">
        <v>2029</v>
      </c>
      <c r="M1" s="46">
        <v>2030</v>
      </c>
    </row>
    <row r="2" ht="18.75" spans="10:14">
      <c r="J2" s="47" t="s">
        <v>198</v>
      </c>
      <c r="K2" s="48"/>
      <c r="L2" s="48"/>
      <c r="M2" s="49"/>
      <c r="N2" s="5"/>
    </row>
    <row r="3" ht="18.75" spans="10:14">
      <c r="J3" s="50" t="s">
        <v>171</v>
      </c>
      <c r="K3" s="8"/>
      <c r="L3" s="8"/>
      <c r="M3" s="49"/>
      <c r="N3" s="5"/>
    </row>
    <row r="4" ht="18.75" spans="10:14">
      <c r="J4" s="50" t="s">
        <v>172</v>
      </c>
      <c r="K4" s="8"/>
      <c r="L4" s="8"/>
      <c r="M4" s="49"/>
      <c r="N4" s="5"/>
    </row>
    <row r="5" ht="18.75" spans="10:14">
      <c r="J5" s="50" t="s">
        <v>173</v>
      </c>
      <c r="K5" s="8"/>
      <c r="L5" s="8"/>
      <c r="M5" s="49"/>
      <c r="N5" s="5"/>
    </row>
    <row r="6" spans="11:14">
      <c r="K6" s="8"/>
      <c r="L6" s="8"/>
      <c r="M6" s="8"/>
      <c r="N6" s="49"/>
    </row>
    <row r="7" ht="18.75" spans="10:14">
      <c r="J7" s="50" t="s">
        <v>174</v>
      </c>
      <c r="K7" s="8"/>
      <c r="M7" s="8"/>
      <c r="N7" s="49"/>
    </row>
    <row r="8" ht="18.75" spans="10:14">
      <c r="J8" s="51" t="s">
        <v>175</v>
      </c>
      <c r="K8" s="8"/>
      <c r="M8" s="8"/>
      <c r="N8" s="49"/>
    </row>
    <row r="9" ht="18.75" spans="10:14">
      <c r="J9" s="51" t="s">
        <v>176</v>
      </c>
      <c r="K9" s="8"/>
      <c r="M9" s="8"/>
      <c r="N9" s="49"/>
    </row>
    <row r="10" ht="18.75" spans="10:17">
      <c r="J10" s="51" t="s">
        <v>177</v>
      </c>
      <c r="K10" s="52"/>
      <c r="M10" s="52"/>
      <c r="N10" s="53"/>
      <c r="O10" s="54"/>
      <c r="P10" s="55"/>
      <c r="Q10" s="77"/>
    </row>
    <row r="11" ht="18.75" spans="2:17">
      <c r="B11" s="10" t="s">
        <v>178</v>
      </c>
      <c r="C11" s="10"/>
      <c r="D11" s="10"/>
      <c r="E11" s="11"/>
      <c r="F11" s="11"/>
      <c r="G11" s="11"/>
      <c r="H11" s="11"/>
      <c r="K11" s="56"/>
      <c r="L11" s="52"/>
      <c r="M11" s="52"/>
      <c r="N11" s="53"/>
      <c r="O11" s="54"/>
      <c r="P11" s="55"/>
      <c r="Q11" s="77"/>
    </row>
    <row r="12" ht="18.75" spans="11:17">
      <c r="K12" s="56"/>
      <c r="L12" s="52"/>
      <c r="M12" s="52"/>
      <c r="N12" s="53"/>
      <c r="O12" s="54"/>
      <c r="P12" s="55"/>
      <c r="Q12" s="77"/>
    </row>
    <row r="13" spans="1:16">
      <c r="A13" s="12" t="s">
        <v>134</v>
      </c>
      <c r="B13" s="13" t="s">
        <v>179</v>
      </c>
      <c r="C13" s="14" t="s">
        <v>180</v>
      </c>
      <c r="D13" s="14" t="s">
        <v>181</v>
      </c>
      <c r="E13" s="15" t="s">
        <v>138</v>
      </c>
      <c r="F13" s="15"/>
      <c r="G13" s="15"/>
      <c r="H13" s="15"/>
      <c r="I13" s="15"/>
      <c r="J13" s="15"/>
      <c r="K13" s="57"/>
      <c r="L13" s="57"/>
      <c r="M13" s="57"/>
      <c r="N13" s="58" t="s">
        <v>139</v>
      </c>
      <c r="O13" s="58" t="s">
        <v>140</v>
      </c>
      <c r="P13" s="59" t="s">
        <v>199</v>
      </c>
    </row>
    <row r="14" spans="1:16">
      <c r="A14" s="12"/>
      <c r="B14" s="13"/>
      <c r="C14" s="14"/>
      <c r="D14" s="14"/>
      <c r="E14" s="15"/>
      <c r="F14" s="16" t="s">
        <v>183</v>
      </c>
      <c r="G14" s="15"/>
      <c r="H14" s="15"/>
      <c r="I14" s="15"/>
      <c r="J14" s="15"/>
      <c r="K14" s="57"/>
      <c r="L14" s="57"/>
      <c r="M14" s="57"/>
      <c r="N14" s="58"/>
      <c r="O14" s="58"/>
      <c r="P14" s="60"/>
    </row>
    <row r="15" ht="58.5" customHeight="1" spans="1:16">
      <c r="A15" s="12"/>
      <c r="B15" s="13"/>
      <c r="C15" s="14"/>
      <c r="D15" s="14"/>
      <c r="E15" s="17" t="s">
        <v>141</v>
      </c>
      <c r="F15" s="18">
        <v>2023</v>
      </c>
      <c r="G15" s="18">
        <v>2024</v>
      </c>
      <c r="H15" s="18">
        <v>2025</v>
      </c>
      <c r="I15" s="46">
        <v>2026</v>
      </c>
      <c r="J15" s="46">
        <v>2027</v>
      </c>
      <c r="K15" s="46">
        <v>2028</v>
      </c>
      <c r="L15" s="46">
        <v>2029</v>
      </c>
      <c r="M15" s="46">
        <v>2030</v>
      </c>
      <c r="N15" s="58"/>
      <c r="O15" s="58"/>
      <c r="P15" s="61"/>
    </row>
    <row r="16" spans="1:16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58">
        <v>14</v>
      </c>
      <c r="O16" s="58">
        <v>15</v>
      </c>
      <c r="P16" s="62"/>
    </row>
    <row r="17" s="1" customFormat="1" ht="18.75" spans="1:18">
      <c r="A17" s="20" t="s">
        <v>6</v>
      </c>
      <c r="B17" s="21" t="s">
        <v>7</v>
      </c>
      <c r="C17" s="21"/>
      <c r="D17" s="21"/>
      <c r="E17" s="22"/>
      <c r="F17" s="22"/>
      <c r="G17" s="22"/>
      <c r="H17" s="22"/>
      <c r="I17" s="22"/>
      <c r="J17" s="22"/>
      <c r="K17" s="21"/>
      <c r="L17" s="21"/>
      <c r="M17" s="21"/>
      <c r="N17" s="21"/>
      <c r="O17" s="21"/>
      <c r="P17" s="63"/>
      <c r="Q17" s="78"/>
      <c r="R17" s="153"/>
    </row>
    <row r="18" s="1" customFormat="1" ht="15.75" customHeight="1" spans="1:18">
      <c r="A18" s="173" t="s">
        <v>8</v>
      </c>
      <c r="B18" s="174" t="s">
        <v>143</v>
      </c>
      <c r="C18" s="175" t="s">
        <v>144</v>
      </c>
      <c r="D18" s="175" t="s">
        <v>144</v>
      </c>
      <c r="E18" s="176">
        <f t="shared" ref="E18:E38" si="0">F18+G18+H18+I18+J18</f>
        <v>555049483.75</v>
      </c>
      <c r="F18" s="177">
        <f t="shared" ref="F18:M18" si="1">SUM(F19:F22)</f>
        <v>164564076.58</v>
      </c>
      <c r="G18" s="177">
        <f t="shared" si="1"/>
        <v>140943112.29</v>
      </c>
      <c r="H18" s="177">
        <f t="shared" si="1"/>
        <v>128227735.63</v>
      </c>
      <c r="I18" s="177">
        <f t="shared" si="1"/>
        <v>61196343.07</v>
      </c>
      <c r="J18" s="177">
        <f t="shared" si="1"/>
        <v>60118216.18</v>
      </c>
      <c r="K18" s="177">
        <f t="shared" si="1"/>
        <v>0</v>
      </c>
      <c r="L18" s="177">
        <f t="shared" si="1"/>
        <v>0</v>
      </c>
      <c r="M18" s="177">
        <f t="shared" si="1"/>
        <v>0</v>
      </c>
      <c r="N18" s="195" t="s">
        <v>144</v>
      </c>
      <c r="O18" s="196" t="s">
        <v>144</v>
      </c>
      <c r="P18" s="197">
        <f>SUM(P19:P22)</f>
        <v>0</v>
      </c>
      <c r="Q18" s="78"/>
      <c r="R18" s="139">
        <f>SUM(R19:R22)</f>
        <v>0</v>
      </c>
    </row>
    <row r="19" s="1" customFormat="1" ht="15.75" spans="1:18">
      <c r="A19" s="173"/>
      <c r="B19" s="174"/>
      <c r="C19" s="175"/>
      <c r="D19" s="175"/>
      <c r="E19" s="176">
        <f t="shared" si="0"/>
        <v>287638800.68</v>
      </c>
      <c r="F19" s="177">
        <f t="shared" ref="F19:M19" si="2">F24+F25+F32+F33</f>
        <v>141479117.43</v>
      </c>
      <c r="G19" s="177">
        <f t="shared" si="2"/>
        <v>36601639.06</v>
      </c>
      <c r="H19" s="177">
        <f t="shared" si="2"/>
        <v>36560478.15</v>
      </c>
      <c r="I19" s="177">
        <f t="shared" si="2"/>
        <v>37268682.78</v>
      </c>
      <c r="J19" s="177">
        <f t="shared" si="2"/>
        <v>35728883.26</v>
      </c>
      <c r="K19" s="177">
        <f t="shared" si="2"/>
        <v>0</v>
      </c>
      <c r="L19" s="177">
        <f t="shared" si="2"/>
        <v>0</v>
      </c>
      <c r="M19" s="177">
        <f t="shared" si="2"/>
        <v>0</v>
      </c>
      <c r="N19" s="195" t="s">
        <v>78</v>
      </c>
      <c r="O19" s="196"/>
      <c r="P19" s="197">
        <f>P24+P25+P32+P33</f>
        <v>0</v>
      </c>
      <c r="Q19" s="78"/>
      <c r="R19" s="139">
        <f>R24+R25+R32+R33</f>
        <v>0</v>
      </c>
    </row>
    <row r="20" s="1" customFormat="1" ht="15.75" spans="1:18">
      <c r="A20" s="173"/>
      <c r="B20" s="174"/>
      <c r="C20" s="175"/>
      <c r="D20" s="175"/>
      <c r="E20" s="176">
        <f t="shared" si="0"/>
        <v>3636635.95</v>
      </c>
      <c r="F20" s="177">
        <f t="shared" ref="F20:M20" si="3">F26+F27</f>
        <v>724063.62</v>
      </c>
      <c r="G20" s="177">
        <f t="shared" si="3"/>
        <v>746972.23</v>
      </c>
      <c r="H20" s="177">
        <f t="shared" si="3"/>
        <v>722679.7</v>
      </c>
      <c r="I20" s="177">
        <f t="shared" si="3"/>
        <v>736678.57</v>
      </c>
      <c r="J20" s="177">
        <f t="shared" si="3"/>
        <v>706241.83</v>
      </c>
      <c r="K20" s="177">
        <f t="shared" si="3"/>
        <v>0</v>
      </c>
      <c r="L20" s="177">
        <f t="shared" si="3"/>
        <v>0</v>
      </c>
      <c r="M20" s="177">
        <f t="shared" si="3"/>
        <v>0</v>
      </c>
      <c r="N20" s="195" t="s">
        <v>71</v>
      </c>
      <c r="O20" s="196"/>
      <c r="P20" s="197">
        <f>P26+P27</f>
        <v>0</v>
      </c>
      <c r="Q20" s="78"/>
      <c r="R20" s="139">
        <f>R26+R27</f>
        <v>0</v>
      </c>
    </row>
    <row r="21" s="1" customFormat="1" ht="15.75" spans="1:18">
      <c r="A21" s="173"/>
      <c r="B21" s="174"/>
      <c r="C21" s="175"/>
      <c r="D21" s="175"/>
      <c r="E21" s="176">
        <f t="shared" si="0"/>
        <v>931032.37</v>
      </c>
      <c r="F21" s="177">
        <f t="shared" ref="F21:M21" si="4">F28+F29</f>
        <v>181925.53</v>
      </c>
      <c r="G21" s="177">
        <f t="shared" si="4"/>
        <v>187681.47</v>
      </c>
      <c r="H21" s="177">
        <f t="shared" si="4"/>
        <v>187352.56</v>
      </c>
      <c r="I21" s="177">
        <f t="shared" si="4"/>
        <v>190981.72</v>
      </c>
      <c r="J21" s="177">
        <f t="shared" si="4"/>
        <v>183091.09</v>
      </c>
      <c r="K21" s="177">
        <f t="shared" si="4"/>
        <v>0</v>
      </c>
      <c r="L21" s="177">
        <f t="shared" si="4"/>
        <v>0</v>
      </c>
      <c r="M21" s="177">
        <f t="shared" si="4"/>
        <v>0</v>
      </c>
      <c r="N21" s="195" t="s">
        <v>16</v>
      </c>
      <c r="O21" s="196"/>
      <c r="P21" s="197">
        <f>P28+P29</f>
        <v>0</v>
      </c>
      <c r="Q21" s="78"/>
      <c r="R21" s="139">
        <f>R28+R29</f>
        <v>0</v>
      </c>
    </row>
    <row r="22" s="1" customFormat="1" ht="15.75" spans="1:18">
      <c r="A22" s="173"/>
      <c r="B22" s="174"/>
      <c r="C22" s="175"/>
      <c r="D22" s="175"/>
      <c r="E22" s="176">
        <f t="shared" si="0"/>
        <v>262843014.75</v>
      </c>
      <c r="F22" s="177">
        <f>F34+F35+F37+F38+F30</f>
        <v>22178970</v>
      </c>
      <c r="G22" s="177">
        <f>G34+G35+G37+G38+G30</f>
        <v>103406819.53</v>
      </c>
      <c r="H22" s="177">
        <f>H34+H35+H37+H38+H30</f>
        <v>90757225.22</v>
      </c>
      <c r="I22" s="177">
        <f>I34+I35+I37+I38+I30</f>
        <v>23000000</v>
      </c>
      <c r="J22" s="177">
        <f>J34+J35+J37+J38+J30</f>
        <v>23500000</v>
      </c>
      <c r="K22" s="177">
        <f t="shared" ref="G22:M22" si="5">K34+K35+K37</f>
        <v>0</v>
      </c>
      <c r="L22" s="177">
        <f t="shared" si="5"/>
        <v>0</v>
      </c>
      <c r="M22" s="177">
        <f t="shared" si="5"/>
        <v>0</v>
      </c>
      <c r="N22" s="195" t="s">
        <v>73</v>
      </c>
      <c r="O22" s="196"/>
      <c r="P22" s="197"/>
      <c r="Q22" s="78"/>
      <c r="R22" s="139">
        <f>R34+R35+R37+R38+R30</f>
        <v>0</v>
      </c>
    </row>
    <row r="23" s="1" customFormat="1" ht="15.75" spans="1:18">
      <c r="A23" s="173" t="s">
        <v>11</v>
      </c>
      <c r="B23" s="178" t="s">
        <v>200</v>
      </c>
      <c r="C23" s="174" t="s">
        <v>145</v>
      </c>
      <c r="D23" s="174" t="s">
        <v>123</v>
      </c>
      <c r="E23" s="176">
        <f t="shared" si="0"/>
        <v>243982988.81</v>
      </c>
      <c r="F23" s="177">
        <f>F24+F25+F26+F27+F28+F30</f>
        <v>36385106.58</v>
      </c>
      <c r="G23" s="177">
        <f>G24+G25+G26+G27+G28+G30+G29</f>
        <v>57319903.61</v>
      </c>
      <c r="H23" s="177">
        <f>SUM(H24:H30)</f>
        <v>75463419.37</v>
      </c>
      <c r="I23" s="177">
        <f t="shared" ref="I23:M23" si="6">I24+I25+I26+I27+I28+I30+I29</f>
        <v>38196343.07</v>
      </c>
      <c r="J23" s="177">
        <f t="shared" si="6"/>
        <v>36618216.18</v>
      </c>
      <c r="K23" s="177">
        <f t="shared" si="6"/>
        <v>0</v>
      </c>
      <c r="L23" s="177">
        <f t="shared" si="6"/>
        <v>0</v>
      </c>
      <c r="M23" s="177">
        <f t="shared" si="6"/>
        <v>0</v>
      </c>
      <c r="N23" s="195" t="s">
        <v>144</v>
      </c>
      <c r="O23" s="196" t="s">
        <v>144</v>
      </c>
      <c r="P23" s="197"/>
      <c r="Q23" s="154"/>
      <c r="R23" s="155">
        <f>SUM(R24:R30)</f>
        <v>0</v>
      </c>
    </row>
    <row r="24" s="1" customFormat="1" ht="15.75" spans="1:18">
      <c r="A24" s="173"/>
      <c r="B24" s="178"/>
      <c r="C24" s="174"/>
      <c r="D24" s="174"/>
      <c r="E24" s="176">
        <f t="shared" si="0"/>
        <v>181638800.68</v>
      </c>
      <c r="F24" s="179">
        <v>35479117.43</v>
      </c>
      <c r="G24" s="180">
        <v>36601639.06</v>
      </c>
      <c r="H24" s="179">
        <v>36560478.15</v>
      </c>
      <c r="I24" s="179">
        <v>37268682.78</v>
      </c>
      <c r="J24" s="179">
        <v>35728883.26</v>
      </c>
      <c r="K24" s="181">
        <v>0</v>
      </c>
      <c r="L24" s="181">
        <v>0</v>
      </c>
      <c r="M24" s="181">
        <v>0</v>
      </c>
      <c r="N24" s="195" t="s">
        <v>78</v>
      </c>
      <c r="O24" s="196" t="s">
        <v>105</v>
      </c>
      <c r="P24" s="198"/>
      <c r="Q24" s="78"/>
      <c r="R24" s="156"/>
    </row>
    <row r="25" s="1" customFormat="1" ht="15.75" spans="1:18">
      <c r="A25" s="173"/>
      <c r="B25" s="178"/>
      <c r="C25" s="174"/>
      <c r="D25" s="174"/>
      <c r="E25" s="176">
        <f t="shared" si="0"/>
        <v>0</v>
      </c>
      <c r="F25" s="179">
        <v>0</v>
      </c>
      <c r="G25" s="179">
        <v>0</v>
      </c>
      <c r="H25" s="179">
        <v>0</v>
      </c>
      <c r="I25" s="179">
        <v>0</v>
      </c>
      <c r="J25" s="179">
        <v>0</v>
      </c>
      <c r="K25" s="179">
        <v>0</v>
      </c>
      <c r="L25" s="179">
        <v>0</v>
      </c>
      <c r="M25" s="179">
        <v>0</v>
      </c>
      <c r="N25" s="195" t="s">
        <v>78</v>
      </c>
      <c r="O25" s="196" t="s">
        <v>146</v>
      </c>
      <c r="P25" s="198"/>
      <c r="Q25" s="78"/>
      <c r="R25" s="157"/>
    </row>
    <row r="26" s="1" customFormat="1" ht="15.75" spans="1:18">
      <c r="A26" s="173"/>
      <c r="B26" s="178"/>
      <c r="C26" s="174"/>
      <c r="D26" s="174"/>
      <c r="E26" s="176">
        <f t="shared" si="0"/>
        <v>3636635.95</v>
      </c>
      <c r="F26" s="179">
        <v>724063.62</v>
      </c>
      <c r="G26" s="180">
        <v>746972.23</v>
      </c>
      <c r="H26" s="179">
        <v>722679.7</v>
      </c>
      <c r="I26" s="179">
        <v>736678.57</v>
      </c>
      <c r="J26" s="179">
        <v>706241.83</v>
      </c>
      <c r="K26" s="179">
        <v>0</v>
      </c>
      <c r="L26" s="179">
        <v>0</v>
      </c>
      <c r="M26" s="179">
        <v>0</v>
      </c>
      <c r="N26" s="195" t="s">
        <v>71</v>
      </c>
      <c r="O26" s="196" t="s">
        <v>105</v>
      </c>
      <c r="P26" s="198"/>
      <c r="Q26" s="78"/>
      <c r="R26" s="157"/>
    </row>
    <row r="27" s="1" customFormat="1" ht="15.75" spans="1:18">
      <c r="A27" s="173"/>
      <c r="B27" s="178"/>
      <c r="C27" s="174"/>
      <c r="D27" s="174"/>
      <c r="E27" s="176">
        <f t="shared" si="0"/>
        <v>0</v>
      </c>
      <c r="F27" s="179">
        <v>0</v>
      </c>
      <c r="G27" s="179">
        <v>0</v>
      </c>
      <c r="H27" s="179">
        <v>0</v>
      </c>
      <c r="I27" s="179">
        <v>0</v>
      </c>
      <c r="J27" s="179">
        <v>0</v>
      </c>
      <c r="K27" s="179">
        <v>0</v>
      </c>
      <c r="L27" s="179">
        <v>0</v>
      </c>
      <c r="M27" s="179">
        <v>0</v>
      </c>
      <c r="N27" s="195" t="s">
        <v>71</v>
      </c>
      <c r="O27" s="196" t="s">
        <v>146</v>
      </c>
      <c r="P27" s="198"/>
      <c r="Q27" s="78"/>
      <c r="R27" s="157"/>
    </row>
    <row r="28" s="1" customFormat="1" ht="15.75" spans="1:18">
      <c r="A28" s="173"/>
      <c r="B28" s="178"/>
      <c r="C28" s="174"/>
      <c r="D28" s="174"/>
      <c r="E28" s="176">
        <f t="shared" si="0"/>
        <v>931032.37</v>
      </c>
      <c r="F28" s="179">
        <v>181925.53</v>
      </c>
      <c r="G28" s="180">
        <v>187681.47</v>
      </c>
      <c r="H28" s="179">
        <v>187352.56</v>
      </c>
      <c r="I28" s="179">
        <v>190981.72</v>
      </c>
      <c r="J28" s="179">
        <v>183091.09</v>
      </c>
      <c r="K28" s="179">
        <v>0</v>
      </c>
      <c r="L28" s="179">
        <v>0</v>
      </c>
      <c r="M28" s="179">
        <v>0</v>
      </c>
      <c r="N28" s="195" t="s">
        <v>16</v>
      </c>
      <c r="O28" s="196" t="s">
        <v>105</v>
      </c>
      <c r="P28" s="198"/>
      <c r="Q28" s="78"/>
      <c r="R28" s="157"/>
    </row>
    <row r="29" s="1" customFormat="1" ht="15.75" spans="1:18">
      <c r="A29" s="173"/>
      <c r="B29" s="178"/>
      <c r="C29" s="174"/>
      <c r="D29" s="174"/>
      <c r="E29" s="176">
        <f t="shared" si="0"/>
        <v>0</v>
      </c>
      <c r="F29" s="179">
        <v>0</v>
      </c>
      <c r="G29" s="179">
        <v>0</v>
      </c>
      <c r="H29" s="179">
        <v>0</v>
      </c>
      <c r="I29" s="179">
        <v>0</v>
      </c>
      <c r="J29" s="179">
        <v>0</v>
      </c>
      <c r="K29" s="179">
        <v>0</v>
      </c>
      <c r="L29" s="179">
        <v>0</v>
      </c>
      <c r="M29" s="179">
        <v>0</v>
      </c>
      <c r="N29" s="195" t="s">
        <v>147</v>
      </c>
      <c r="O29" s="196" t="s">
        <v>146</v>
      </c>
      <c r="P29" s="198"/>
      <c r="Q29" s="78"/>
      <c r="R29" s="157"/>
    </row>
    <row r="30" s="1" customFormat="1" ht="15.75" spans="1:18">
      <c r="A30" s="173"/>
      <c r="B30" s="178"/>
      <c r="C30" s="174"/>
      <c r="D30" s="174"/>
      <c r="E30" s="181">
        <f t="shared" si="0"/>
        <v>57776519.81</v>
      </c>
      <c r="F30" s="179">
        <v>0</v>
      </c>
      <c r="G30" s="180">
        <f>20893314.78+P30</f>
        <v>19783610.85</v>
      </c>
      <c r="H30" s="179">
        <f>(49944470.41+1272000)-7810649-900000-1512912.45-3000000</f>
        <v>37992908.96</v>
      </c>
      <c r="I30" s="179">
        <v>0</v>
      </c>
      <c r="J30" s="179">
        <v>0</v>
      </c>
      <c r="K30" s="179">
        <v>0</v>
      </c>
      <c r="L30" s="179">
        <v>0</v>
      </c>
      <c r="M30" s="179">
        <v>0</v>
      </c>
      <c r="N30" s="199" t="s">
        <v>73</v>
      </c>
      <c r="O30" s="200" t="s">
        <v>105</v>
      </c>
      <c r="P30" s="198">
        <f>-572032.86+-537671.07</f>
        <v>-1109703.93</v>
      </c>
      <c r="Q30" s="78"/>
      <c r="R30" s="157"/>
    </row>
    <row r="31" s="1" customFormat="1" ht="15.75" customHeight="1" spans="1:18">
      <c r="A31" s="173" t="s">
        <v>91</v>
      </c>
      <c r="B31" s="178" t="s">
        <v>148</v>
      </c>
      <c r="C31" s="174" t="s">
        <v>149</v>
      </c>
      <c r="D31" s="174" t="s">
        <v>150</v>
      </c>
      <c r="E31" s="176">
        <f t="shared" si="0"/>
        <v>211802178.68</v>
      </c>
      <c r="F31" s="179">
        <f t="shared" ref="F31:M31" si="7">F32+F33+F34+F35</f>
        <v>128178970</v>
      </c>
      <c r="G31" s="179">
        <f t="shared" si="7"/>
        <v>83623208.68</v>
      </c>
      <c r="H31" s="179">
        <f t="shared" si="7"/>
        <v>0</v>
      </c>
      <c r="I31" s="179">
        <f t="shared" si="7"/>
        <v>0</v>
      </c>
      <c r="J31" s="179">
        <f t="shared" si="7"/>
        <v>0</v>
      </c>
      <c r="K31" s="179">
        <f t="shared" si="7"/>
        <v>0</v>
      </c>
      <c r="L31" s="179">
        <f t="shared" si="7"/>
        <v>0</v>
      </c>
      <c r="M31" s="179">
        <f t="shared" si="7"/>
        <v>0</v>
      </c>
      <c r="N31" s="195" t="s">
        <v>144</v>
      </c>
      <c r="O31" s="196" t="s">
        <v>144</v>
      </c>
      <c r="P31" s="201">
        <f>P32+P33+P34+P35</f>
        <v>0</v>
      </c>
      <c r="Q31" s="78"/>
      <c r="R31" s="157"/>
    </row>
    <row r="32" s="1" customFormat="1" ht="15.75" spans="1:18">
      <c r="A32" s="173"/>
      <c r="B32" s="178"/>
      <c r="C32" s="174"/>
      <c r="D32" s="174"/>
      <c r="E32" s="176">
        <f t="shared" si="0"/>
        <v>63133615.4</v>
      </c>
      <c r="F32" s="179">
        <f>106000000-37799322.82-5067061.78</f>
        <v>63133615.4</v>
      </c>
      <c r="G32" s="179">
        <v>0</v>
      </c>
      <c r="H32" s="179">
        <v>0</v>
      </c>
      <c r="I32" s="179">
        <v>0</v>
      </c>
      <c r="J32" s="179">
        <v>0</v>
      </c>
      <c r="K32" s="179">
        <v>0</v>
      </c>
      <c r="L32" s="179">
        <v>0</v>
      </c>
      <c r="M32" s="179">
        <v>0</v>
      </c>
      <c r="N32" s="195" t="s">
        <v>78</v>
      </c>
      <c r="O32" s="196" t="s">
        <v>151</v>
      </c>
      <c r="P32" s="198"/>
      <c r="Q32" s="78"/>
      <c r="R32" s="157"/>
    </row>
    <row r="33" s="1" customFormat="1" ht="18.75" customHeight="1" spans="1:18">
      <c r="A33" s="173"/>
      <c r="B33" s="178"/>
      <c r="C33" s="174"/>
      <c r="D33" s="174"/>
      <c r="E33" s="176">
        <f t="shared" si="0"/>
        <v>42866384.6</v>
      </c>
      <c r="F33" s="179">
        <f>37799322.82+5067061.78</f>
        <v>42866384.6</v>
      </c>
      <c r="G33" s="179">
        <v>0</v>
      </c>
      <c r="H33" s="179">
        <v>0</v>
      </c>
      <c r="I33" s="179">
        <v>0</v>
      </c>
      <c r="J33" s="179">
        <v>0</v>
      </c>
      <c r="K33" s="179">
        <v>0</v>
      </c>
      <c r="L33" s="179">
        <v>0</v>
      </c>
      <c r="M33" s="179">
        <v>0</v>
      </c>
      <c r="N33" s="195" t="s">
        <v>78</v>
      </c>
      <c r="O33" s="196" t="s">
        <v>152</v>
      </c>
      <c r="P33" s="198"/>
      <c r="Q33" s="78"/>
      <c r="R33" s="157"/>
    </row>
    <row r="34" s="1" customFormat="1" ht="19.5" customHeight="1" spans="1:18">
      <c r="A34" s="173"/>
      <c r="B34" s="178"/>
      <c r="C34" s="174"/>
      <c r="D34" s="174"/>
      <c r="E34" s="176">
        <f t="shared" si="0"/>
        <v>66379321.57</v>
      </c>
      <c r="F34" s="179">
        <f>(22776970-598000)-1422857.11</f>
        <v>20756112.89</v>
      </c>
      <c r="G34" s="179">
        <f>33623208.68+12000000</f>
        <v>45623208.68</v>
      </c>
      <c r="H34" s="179">
        <v>0</v>
      </c>
      <c r="I34" s="179">
        <v>0</v>
      </c>
      <c r="J34" s="179">
        <v>0</v>
      </c>
      <c r="K34" s="179">
        <v>0</v>
      </c>
      <c r="L34" s="179">
        <v>0</v>
      </c>
      <c r="M34" s="179">
        <v>0</v>
      </c>
      <c r="N34" s="195" t="s">
        <v>73</v>
      </c>
      <c r="O34" s="196" t="s">
        <v>151</v>
      </c>
      <c r="P34" s="198"/>
      <c r="Q34" s="78"/>
      <c r="R34" s="157"/>
    </row>
    <row r="35" s="1" customFormat="1" ht="16.5" customHeight="1" spans="1:18">
      <c r="A35" s="173"/>
      <c r="B35" s="178"/>
      <c r="C35" s="174"/>
      <c r="D35" s="174"/>
      <c r="E35" s="176">
        <f t="shared" si="0"/>
        <v>39422857.11</v>
      </c>
      <c r="F35" s="179">
        <v>1422857.11</v>
      </c>
      <c r="G35" s="179">
        <v>38000000</v>
      </c>
      <c r="H35" s="179">
        <v>0</v>
      </c>
      <c r="I35" s="179">
        <v>0</v>
      </c>
      <c r="J35" s="179">
        <v>0</v>
      </c>
      <c r="K35" s="179">
        <v>0</v>
      </c>
      <c r="L35" s="179">
        <v>0</v>
      </c>
      <c r="M35" s="179">
        <v>0</v>
      </c>
      <c r="N35" s="195" t="s">
        <v>73</v>
      </c>
      <c r="O35" s="196" t="s">
        <v>152</v>
      </c>
      <c r="P35" s="198"/>
      <c r="Q35" s="78"/>
      <c r="R35" s="158"/>
    </row>
    <row r="36" s="1" customFormat="1" ht="15.75" customHeight="1" spans="1:18">
      <c r="A36" s="182" t="s">
        <v>201</v>
      </c>
      <c r="B36" s="183" t="s">
        <v>202</v>
      </c>
      <c r="C36" s="184" t="s">
        <v>149</v>
      </c>
      <c r="D36" s="184" t="s">
        <v>203</v>
      </c>
      <c r="E36" s="176">
        <f t="shared" si="0"/>
        <v>99264316.26</v>
      </c>
      <c r="F36" s="177">
        <f>F37+F38</f>
        <v>0</v>
      </c>
      <c r="G36" s="177">
        <f t="shared" ref="G36:M36" si="8">G37+G38</f>
        <v>0</v>
      </c>
      <c r="H36" s="177">
        <f t="shared" si="8"/>
        <v>52764316.26</v>
      </c>
      <c r="I36" s="177">
        <f t="shared" si="8"/>
        <v>23000000</v>
      </c>
      <c r="J36" s="177">
        <f t="shared" si="8"/>
        <v>23500000</v>
      </c>
      <c r="K36" s="177">
        <f t="shared" si="8"/>
        <v>0</v>
      </c>
      <c r="L36" s="177">
        <f t="shared" si="8"/>
        <v>0</v>
      </c>
      <c r="M36" s="177">
        <f t="shared" si="8"/>
        <v>0</v>
      </c>
      <c r="N36" s="195" t="s">
        <v>144</v>
      </c>
      <c r="O36" s="196" t="s">
        <v>144</v>
      </c>
      <c r="P36" s="197" t="e">
        <f>#REF!+#REF!+P37+#REF!</f>
        <v>#REF!</v>
      </c>
      <c r="Q36" s="154"/>
      <c r="R36" s="118">
        <f>R37+R38</f>
        <v>0</v>
      </c>
    </row>
    <row r="37" s="1" customFormat="1" ht="19.5" customHeight="1" spans="1:18">
      <c r="A37" s="185"/>
      <c r="B37" s="186"/>
      <c r="C37" s="187"/>
      <c r="D37" s="187"/>
      <c r="E37" s="176">
        <f t="shared" si="0"/>
        <v>99264316.26</v>
      </c>
      <c r="F37" s="179">
        <v>0</v>
      </c>
      <c r="G37" s="179">
        <v>0</v>
      </c>
      <c r="H37" s="179">
        <f>41164316.26+11600000</f>
        <v>52764316.26</v>
      </c>
      <c r="I37" s="179">
        <v>23000000</v>
      </c>
      <c r="J37" s="179">
        <v>23500000</v>
      </c>
      <c r="K37" s="179">
        <v>0</v>
      </c>
      <c r="L37" s="179">
        <v>0</v>
      </c>
      <c r="M37" s="179">
        <v>0</v>
      </c>
      <c r="N37" s="195" t="s">
        <v>73</v>
      </c>
      <c r="O37" s="196" t="s">
        <v>151</v>
      </c>
      <c r="P37" s="198"/>
      <c r="Q37" s="78"/>
      <c r="R37" s="156"/>
    </row>
    <row r="38" s="1" customFormat="1" ht="19.5" customHeight="1" spans="1:18">
      <c r="A38" s="188"/>
      <c r="B38" s="189"/>
      <c r="C38" s="190"/>
      <c r="D38" s="190"/>
      <c r="E38" s="176">
        <f t="shared" si="0"/>
        <v>0</v>
      </c>
      <c r="F38" s="179">
        <v>0</v>
      </c>
      <c r="G38" s="179">
        <v>0</v>
      </c>
      <c r="H38" s="179">
        <v>0</v>
      </c>
      <c r="I38" s="179">
        <v>0</v>
      </c>
      <c r="J38" s="179">
        <v>0</v>
      </c>
      <c r="K38" s="179">
        <v>0</v>
      </c>
      <c r="L38" s="179">
        <v>0</v>
      </c>
      <c r="M38" s="179">
        <v>0</v>
      </c>
      <c r="N38" s="195" t="s">
        <v>73</v>
      </c>
      <c r="O38" s="196" t="s">
        <v>152</v>
      </c>
      <c r="P38" s="198"/>
      <c r="Q38" s="78"/>
      <c r="R38" s="157"/>
    </row>
    <row r="39" ht="18.75" spans="1:16">
      <c r="A39" s="191" t="s">
        <v>36</v>
      </c>
      <c r="B39" s="191" t="s">
        <v>37</v>
      </c>
      <c r="C39" s="191"/>
      <c r="D39" s="191"/>
      <c r="E39" s="192"/>
      <c r="F39" s="192"/>
      <c r="G39" s="192"/>
      <c r="H39" s="192"/>
      <c r="I39" s="192"/>
      <c r="J39" s="192"/>
      <c r="K39" s="191"/>
      <c r="L39" s="191"/>
      <c r="M39" s="191"/>
      <c r="N39" s="191"/>
      <c r="O39" s="191"/>
      <c r="P39" s="202"/>
    </row>
    <row r="40" spans="1:18">
      <c r="A40" s="193" t="s">
        <v>38</v>
      </c>
      <c r="B40" s="174" t="s">
        <v>153</v>
      </c>
      <c r="C40" s="175" t="s">
        <v>144</v>
      </c>
      <c r="D40" s="175" t="s">
        <v>144</v>
      </c>
      <c r="E40" s="176">
        <f t="shared" ref="E40:E63" si="9">F40+G40+H40+I40+J40+K40+L40+M40</f>
        <v>513095228.53</v>
      </c>
      <c r="F40" s="176">
        <f>F41+F42+F43+F44</f>
        <v>138310399.39</v>
      </c>
      <c r="G40" s="176">
        <f t="shared" ref="G40:M40" si="10">G41+G42+G43+G44</f>
        <v>141966454.14</v>
      </c>
      <c r="H40" s="176">
        <f t="shared" si="10"/>
        <v>53925287.96</v>
      </c>
      <c r="I40" s="176">
        <f t="shared" si="10"/>
        <v>96371775.1</v>
      </c>
      <c r="J40" s="176">
        <f t="shared" si="10"/>
        <v>82521311.94</v>
      </c>
      <c r="K40" s="176">
        <f t="shared" si="10"/>
        <v>0</v>
      </c>
      <c r="L40" s="176">
        <f t="shared" si="10"/>
        <v>0</v>
      </c>
      <c r="M40" s="176">
        <f t="shared" si="10"/>
        <v>0</v>
      </c>
      <c r="N40" s="195" t="s">
        <v>144</v>
      </c>
      <c r="O40" s="196" t="s">
        <v>144</v>
      </c>
      <c r="P40" s="203">
        <f>P41+P42+P43+P44</f>
        <v>1118935.41</v>
      </c>
      <c r="R40" s="140">
        <f>R41+R42+R43+R44</f>
        <v>0</v>
      </c>
    </row>
    <row r="41" spans="1:18">
      <c r="A41" s="193"/>
      <c r="B41" s="174"/>
      <c r="C41" s="175"/>
      <c r="D41" s="175"/>
      <c r="E41" s="176">
        <f t="shared" si="9"/>
        <v>135399268.26</v>
      </c>
      <c r="F41" s="176">
        <f t="shared" ref="F41:M41" si="11">F53+F56</f>
        <v>84818282.07</v>
      </c>
      <c r="G41" s="176">
        <f t="shared" si="11"/>
        <v>20564262.8</v>
      </c>
      <c r="H41" s="176">
        <f t="shared" si="11"/>
        <v>14934521.75</v>
      </c>
      <c r="I41" s="176">
        <f t="shared" si="11"/>
        <v>15082201.64</v>
      </c>
      <c r="J41" s="176">
        <f t="shared" si="11"/>
        <v>0</v>
      </c>
      <c r="K41" s="176">
        <f t="shared" si="11"/>
        <v>0</v>
      </c>
      <c r="L41" s="176">
        <f t="shared" si="11"/>
        <v>0</v>
      </c>
      <c r="M41" s="176">
        <f t="shared" si="11"/>
        <v>0</v>
      </c>
      <c r="N41" s="176" t="s">
        <v>14</v>
      </c>
      <c r="O41" s="204"/>
      <c r="P41" s="203">
        <f>P53+P56</f>
        <v>0</v>
      </c>
      <c r="R41" s="140">
        <f>R53+R56</f>
        <v>0</v>
      </c>
    </row>
    <row r="42" spans="1:18">
      <c r="A42" s="193"/>
      <c r="B42" s="174"/>
      <c r="C42" s="175"/>
      <c r="D42" s="175"/>
      <c r="E42" s="176">
        <f t="shared" si="9"/>
        <v>268509631.92</v>
      </c>
      <c r="F42" s="176">
        <f t="shared" ref="F42:M42" si="12">F46+F57</f>
        <v>32086740.83</v>
      </c>
      <c r="G42" s="176">
        <f t="shared" si="12"/>
        <v>78013399.73</v>
      </c>
      <c r="H42" s="176">
        <f t="shared" si="12"/>
        <v>1304786.15</v>
      </c>
      <c r="I42" s="176">
        <f t="shared" si="12"/>
        <v>78709458.87</v>
      </c>
      <c r="J42" s="176">
        <f t="shared" si="12"/>
        <v>78395246.34</v>
      </c>
      <c r="K42" s="176">
        <f t="shared" si="12"/>
        <v>0</v>
      </c>
      <c r="L42" s="176">
        <f t="shared" si="12"/>
        <v>0</v>
      </c>
      <c r="M42" s="176">
        <f t="shared" si="12"/>
        <v>0</v>
      </c>
      <c r="N42" s="195" t="s">
        <v>15</v>
      </c>
      <c r="O42" s="204"/>
      <c r="P42" s="203">
        <f>P46+P57</f>
        <v>0</v>
      </c>
      <c r="R42" s="140">
        <f>R46+R57</f>
        <v>0</v>
      </c>
    </row>
    <row r="43" spans="1:18">
      <c r="A43" s="193"/>
      <c r="B43" s="174"/>
      <c r="C43" s="175"/>
      <c r="D43" s="175"/>
      <c r="E43" s="176">
        <f t="shared" si="9"/>
        <v>11351929.01</v>
      </c>
      <c r="F43" s="176">
        <f>F47+F54+F59</f>
        <v>1849123.76</v>
      </c>
      <c r="G43" s="176">
        <f t="shared" ref="G43:M43" si="13">G47+G54+G58</f>
        <v>2611764.81</v>
      </c>
      <c r="H43" s="176">
        <f t="shared" si="13"/>
        <v>184860.25</v>
      </c>
      <c r="I43" s="176">
        <f t="shared" si="13"/>
        <v>2580114.59</v>
      </c>
      <c r="J43" s="176">
        <f t="shared" si="13"/>
        <v>4126065.6</v>
      </c>
      <c r="K43" s="176">
        <f t="shared" si="13"/>
        <v>0</v>
      </c>
      <c r="L43" s="176">
        <f t="shared" si="13"/>
        <v>0</v>
      </c>
      <c r="M43" s="176">
        <f t="shared" si="13"/>
        <v>0</v>
      </c>
      <c r="N43" s="195" t="s">
        <v>16</v>
      </c>
      <c r="O43" s="205"/>
      <c r="P43" s="203">
        <f>P47+P54+P58</f>
        <v>0</v>
      </c>
      <c r="R43" s="140">
        <f>R47+R54+R58</f>
        <v>0</v>
      </c>
    </row>
    <row r="44" spans="1:18">
      <c r="A44" s="193"/>
      <c r="B44" s="174"/>
      <c r="C44" s="175"/>
      <c r="D44" s="175"/>
      <c r="E44" s="176">
        <f t="shared" si="9"/>
        <v>97834399.34</v>
      </c>
      <c r="F44" s="176">
        <f>F60+F59</f>
        <v>19556252.73</v>
      </c>
      <c r="G44" s="176">
        <f>G60+G59</f>
        <v>40777026.8</v>
      </c>
      <c r="H44" s="176">
        <f t="shared" ref="H44:M44" si="14">+H62+H63+H61+H59</f>
        <v>37501119.81</v>
      </c>
      <c r="I44" s="176">
        <f t="shared" si="14"/>
        <v>0</v>
      </c>
      <c r="J44" s="176">
        <f t="shared" si="14"/>
        <v>0</v>
      </c>
      <c r="K44" s="176">
        <f t="shared" si="14"/>
        <v>0</v>
      </c>
      <c r="L44" s="176">
        <f t="shared" si="14"/>
        <v>0</v>
      </c>
      <c r="M44" s="176">
        <f t="shared" si="14"/>
        <v>0</v>
      </c>
      <c r="N44" s="176" t="s">
        <v>17</v>
      </c>
      <c r="O44" s="205"/>
      <c r="P44" s="203">
        <f>P60+P59</f>
        <v>1118935.41</v>
      </c>
      <c r="R44" s="157">
        <f>R62+R63+R61+R59</f>
        <v>0</v>
      </c>
    </row>
    <row r="45" ht="15.75" spans="1:18">
      <c r="A45" s="194" t="s">
        <v>40</v>
      </c>
      <c r="B45" s="178" t="s">
        <v>81</v>
      </c>
      <c r="C45" s="174" t="s">
        <v>154</v>
      </c>
      <c r="D45" s="175" t="s">
        <v>144</v>
      </c>
      <c r="E45" s="176">
        <f t="shared" si="9"/>
        <v>277444722.32</v>
      </c>
      <c r="F45" s="177">
        <f t="shared" ref="F45:M45" si="15">SUM(F46:F47)</f>
        <v>33079114.26</v>
      </c>
      <c r="G45" s="177">
        <f t="shared" si="15"/>
        <v>79993526.69</v>
      </c>
      <c r="H45" s="177">
        <f t="shared" si="15"/>
        <v>1030927.84</v>
      </c>
      <c r="I45" s="177">
        <f t="shared" si="15"/>
        <v>80819841.59</v>
      </c>
      <c r="J45" s="177">
        <f t="shared" si="15"/>
        <v>82521311.94</v>
      </c>
      <c r="K45" s="177">
        <f t="shared" si="15"/>
        <v>0</v>
      </c>
      <c r="L45" s="177">
        <f t="shared" si="15"/>
        <v>0</v>
      </c>
      <c r="M45" s="177">
        <f t="shared" si="15"/>
        <v>0</v>
      </c>
      <c r="N45" s="195" t="s">
        <v>144</v>
      </c>
      <c r="O45" s="206" t="s">
        <v>155</v>
      </c>
      <c r="P45" s="197">
        <f>SUM(P46:P47)</f>
        <v>0</v>
      </c>
      <c r="R45" s="159"/>
    </row>
    <row r="46" ht="15.75" spans="1:18">
      <c r="A46" s="194"/>
      <c r="B46" s="178"/>
      <c r="C46" s="174"/>
      <c r="D46" s="175"/>
      <c r="E46" s="176">
        <f t="shared" si="9"/>
        <v>267470954.4</v>
      </c>
      <c r="F46" s="179">
        <f t="shared" ref="F46:M46" si="16">F48+F49</f>
        <v>32086740.83</v>
      </c>
      <c r="G46" s="179">
        <f t="shared" si="16"/>
        <v>77593720.89</v>
      </c>
      <c r="H46" s="179">
        <f t="shared" si="16"/>
        <v>1000000</v>
      </c>
      <c r="I46" s="179">
        <f t="shared" si="16"/>
        <v>78395246.34</v>
      </c>
      <c r="J46" s="179">
        <f t="shared" si="16"/>
        <v>78395246.34</v>
      </c>
      <c r="K46" s="179">
        <f t="shared" si="16"/>
        <v>0</v>
      </c>
      <c r="L46" s="179">
        <f t="shared" si="16"/>
        <v>0</v>
      </c>
      <c r="M46" s="179">
        <f t="shared" si="16"/>
        <v>0</v>
      </c>
      <c r="N46" s="195" t="s">
        <v>15</v>
      </c>
      <c r="O46" s="206"/>
      <c r="P46" s="201">
        <f>P48+P49</f>
        <v>0</v>
      </c>
      <c r="R46" s="160"/>
    </row>
    <row r="47" ht="19.5" customHeight="1" spans="1:18">
      <c r="A47" s="194"/>
      <c r="B47" s="178"/>
      <c r="C47" s="174"/>
      <c r="D47" s="175"/>
      <c r="E47" s="176">
        <f t="shared" si="9"/>
        <v>9973767.92</v>
      </c>
      <c r="F47" s="179">
        <f t="shared" ref="F47:M47" si="17">F50+F51</f>
        <v>992373.43</v>
      </c>
      <c r="G47" s="179">
        <f t="shared" si="17"/>
        <v>2399805.8</v>
      </c>
      <c r="H47" s="179">
        <f t="shared" si="17"/>
        <v>30927.84</v>
      </c>
      <c r="I47" s="179">
        <f t="shared" si="17"/>
        <v>2424595.25</v>
      </c>
      <c r="J47" s="179">
        <f t="shared" si="17"/>
        <v>4126065.6</v>
      </c>
      <c r="K47" s="179">
        <f t="shared" si="17"/>
        <v>0</v>
      </c>
      <c r="L47" s="179">
        <f t="shared" si="17"/>
        <v>0</v>
      </c>
      <c r="M47" s="179">
        <f t="shared" si="17"/>
        <v>0</v>
      </c>
      <c r="N47" s="195" t="s">
        <v>16</v>
      </c>
      <c r="O47" s="206"/>
      <c r="P47" s="201">
        <f>P50+P51</f>
        <v>0</v>
      </c>
      <c r="R47" s="160"/>
    </row>
    <row r="48" ht="15.75" customHeight="1" spans="1:18">
      <c r="A48" s="194" t="s">
        <v>42</v>
      </c>
      <c r="B48" s="178" t="s">
        <v>156</v>
      </c>
      <c r="C48" s="174" t="s">
        <v>154</v>
      </c>
      <c r="D48" s="174" t="s">
        <v>157</v>
      </c>
      <c r="E48" s="176">
        <f t="shared" si="9"/>
        <v>255785646.43</v>
      </c>
      <c r="F48" s="179">
        <f>26400000-3212200.47</f>
        <v>23187799.53</v>
      </c>
      <c r="G48" s="179">
        <v>75807354.22</v>
      </c>
      <c r="H48" s="179">
        <v>0</v>
      </c>
      <c r="I48" s="179">
        <v>78395246.34</v>
      </c>
      <c r="J48" s="179">
        <v>78395246.34</v>
      </c>
      <c r="K48" s="179">
        <v>0</v>
      </c>
      <c r="L48" s="179">
        <v>0</v>
      </c>
      <c r="M48" s="179">
        <v>0</v>
      </c>
      <c r="N48" s="195" t="s">
        <v>71</v>
      </c>
      <c r="O48" s="204" t="s">
        <v>105</v>
      </c>
      <c r="P48" s="198">
        <v>0</v>
      </c>
      <c r="R48" s="160"/>
    </row>
    <row r="49" ht="15.75" spans="1:18">
      <c r="A49" s="194"/>
      <c r="B49" s="178"/>
      <c r="C49" s="174"/>
      <c r="D49" s="174"/>
      <c r="E49" s="176">
        <f t="shared" si="9"/>
        <v>11685307.97</v>
      </c>
      <c r="F49" s="179">
        <f>5686740.83+3212200.47</f>
        <v>8898941.3</v>
      </c>
      <c r="G49" s="179">
        <v>1786366.67</v>
      </c>
      <c r="H49" s="179">
        <v>1000000</v>
      </c>
      <c r="I49" s="179">
        <v>0</v>
      </c>
      <c r="J49" s="179">
        <v>0</v>
      </c>
      <c r="K49" s="179">
        <v>0</v>
      </c>
      <c r="L49" s="179">
        <v>0</v>
      </c>
      <c r="M49" s="179">
        <v>0</v>
      </c>
      <c r="N49" s="195" t="s">
        <v>71</v>
      </c>
      <c r="O49" s="204" t="s">
        <v>146</v>
      </c>
      <c r="P49" s="198">
        <v>0</v>
      </c>
      <c r="R49" s="160"/>
    </row>
    <row r="50" ht="15.75" spans="1:18">
      <c r="A50" s="194"/>
      <c r="B50" s="178"/>
      <c r="C50" s="174"/>
      <c r="D50" s="174"/>
      <c r="E50" s="176">
        <f t="shared" si="9"/>
        <v>9612366.64</v>
      </c>
      <c r="F50" s="179">
        <f>816494.85-99346.41</f>
        <v>717148.44</v>
      </c>
      <c r="G50" s="179">
        <f>(2375317.99+24487.81)-55248.45</f>
        <v>2344557.35</v>
      </c>
      <c r="H50" s="179">
        <v>0</v>
      </c>
      <c r="I50" s="179">
        <v>2424595.25</v>
      </c>
      <c r="J50" s="179">
        <v>4126065.6</v>
      </c>
      <c r="K50" s="179">
        <v>0</v>
      </c>
      <c r="L50" s="179">
        <v>0</v>
      </c>
      <c r="M50" s="179">
        <v>0</v>
      </c>
      <c r="N50" s="195" t="s">
        <v>147</v>
      </c>
      <c r="O50" s="204" t="s">
        <v>105</v>
      </c>
      <c r="P50" s="198">
        <v>0</v>
      </c>
      <c r="R50" s="160"/>
    </row>
    <row r="51" ht="15.75" customHeight="1" spans="1:18">
      <c r="A51" s="194"/>
      <c r="B51" s="178"/>
      <c r="C51" s="174"/>
      <c r="D51" s="174"/>
      <c r="E51" s="176">
        <f t="shared" si="9"/>
        <v>361401.28</v>
      </c>
      <c r="F51" s="179">
        <f>175878.58+99346.41</f>
        <v>275224.99</v>
      </c>
      <c r="G51" s="179">
        <v>55248.45</v>
      </c>
      <c r="H51" s="179">
        <v>30927.84</v>
      </c>
      <c r="I51" s="179">
        <v>0</v>
      </c>
      <c r="J51" s="179">
        <v>0</v>
      </c>
      <c r="K51" s="179">
        <v>0</v>
      </c>
      <c r="L51" s="179">
        <v>0</v>
      </c>
      <c r="M51" s="179">
        <v>0</v>
      </c>
      <c r="N51" s="195" t="s">
        <v>147</v>
      </c>
      <c r="O51" s="204" t="s">
        <v>146</v>
      </c>
      <c r="P51" s="198">
        <v>0</v>
      </c>
      <c r="R51" s="160"/>
    </row>
    <row r="52" ht="30" customHeight="1" spans="1:18">
      <c r="A52" s="194" t="s">
        <v>48</v>
      </c>
      <c r="B52" s="178" t="s">
        <v>184</v>
      </c>
      <c r="C52" s="174" t="s">
        <v>158</v>
      </c>
      <c r="D52" s="174">
        <v>2023</v>
      </c>
      <c r="E52" s="176">
        <f t="shared" si="9"/>
        <v>85675032.4</v>
      </c>
      <c r="F52" s="177">
        <f t="shared" ref="F52:M52" si="18">SUM(F53:F54)</f>
        <v>85675032.4</v>
      </c>
      <c r="G52" s="177">
        <f t="shared" si="18"/>
        <v>0</v>
      </c>
      <c r="H52" s="177">
        <f t="shared" si="18"/>
        <v>0</v>
      </c>
      <c r="I52" s="177">
        <f t="shared" si="18"/>
        <v>0</v>
      </c>
      <c r="J52" s="177">
        <f t="shared" si="18"/>
        <v>0</v>
      </c>
      <c r="K52" s="177">
        <f t="shared" si="18"/>
        <v>0</v>
      </c>
      <c r="L52" s="177">
        <f t="shared" si="18"/>
        <v>0</v>
      </c>
      <c r="M52" s="177">
        <f t="shared" si="18"/>
        <v>0</v>
      </c>
      <c r="N52" s="195" t="s">
        <v>144</v>
      </c>
      <c r="O52" s="196" t="s">
        <v>144</v>
      </c>
      <c r="P52" s="197">
        <f>SUM(P53:P54)</f>
        <v>0</v>
      </c>
      <c r="R52" s="160"/>
    </row>
    <row r="53" ht="19.5" customHeight="1" spans="1:18">
      <c r="A53" s="194"/>
      <c r="B53" s="178"/>
      <c r="C53" s="174"/>
      <c r="D53" s="174"/>
      <c r="E53" s="176">
        <f t="shared" si="9"/>
        <v>84818282.07</v>
      </c>
      <c r="F53" s="179">
        <v>84818282.07</v>
      </c>
      <c r="G53" s="179">
        <v>0</v>
      </c>
      <c r="H53" s="179">
        <v>0</v>
      </c>
      <c r="I53" s="179">
        <v>0</v>
      </c>
      <c r="J53" s="179">
        <v>0</v>
      </c>
      <c r="K53" s="179">
        <v>0</v>
      </c>
      <c r="L53" s="179">
        <v>0</v>
      </c>
      <c r="M53" s="179">
        <v>0</v>
      </c>
      <c r="N53" s="195" t="s">
        <v>78</v>
      </c>
      <c r="O53" s="207" t="s">
        <v>105</v>
      </c>
      <c r="P53" s="198">
        <v>0</v>
      </c>
      <c r="R53" s="160"/>
    </row>
    <row r="54" ht="15.75" spans="1:18">
      <c r="A54" s="194"/>
      <c r="B54" s="178"/>
      <c r="C54" s="174"/>
      <c r="D54" s="174"/>
      <c r="E54" s="176">
        <f t="shared" si="9"/>
        <v>856750.33</v>
      </c>
      <c r="F54" s="179">
        <v>856750.33</v>
      </c>
      <c r="G54" s="179">
        <v>0</v>
      </c>
      <c r="H54" s="179">
        <v>0</v>
      </c>
      <c r="I54" s="179">
        <v>0</v>
      </c>
      <c r="J54" s="179">
        <v>0</v>
      </c>
      <c r="K54" s="179">
        <v>0</v>
      </c>
      <c r="L54" s="179">
        <v>0</v>
      </c>
      <c r="M54" s="179">
        <v>0</v>
      </c>
      <c r="N54" s="195" t="s">
        <v>147</v>
      </c>
      <c r="O54" s="207"/>
      <c r="P54" s="198">
        <v>0</v>
      </c>
      <c r="R54" s="160"/>
    </row>
    <row r="55" ht="23.25" customHeight="1" spans="1:18">
      <c r="A55" s="194" t="s">
        <v>83</v>
      </c>
      <c r="B55" s="178" t="s">
        <v>127</v>
      </c>
      <c r="C55" s="174" t="s">
        <v>159</v>
      </c>
      <c r="D55" s="174">
        <v>2024</v>
      </c>
      <c r="E55" s="176">
        <f t="shared" si="9"/>
        <v>82032099.12</v>
      </c>
      <c r="F55" s="177">
        <f t="shared" ref="F55:M55" si="19">SUM(F56:F59)</f>
        <v>0</v>
      </c>
      <c r="G55" s="177">
        <f t="shared" si="19"/>
        <v>48894475.6</v>
      </c>
      <c r="H55" s="177">
        <f t="shared" si="19"/>
        <v>17585690.01</v>
      </c>
      <c r="I55" s="177">
        <f t="shared" si="19"/>
        <v>15551933.51</v>
      </c>
      <c r="J55" s="177">
        <f t="shared" si="19"/>
        <v>0</v>
      </c>
      <c r="K55" s="177">
        <f t="shared" si="19"/>
        <v>0</v>
      </c>
      <c r="L55" s="177">
        <f t="shared" si="19"/>
        <v>0</v>
      </c>
      <c r="M55" s="177">
        <f t="shared" si="19"/>
        <v>0</v>
      </c>
      <c r="N55" s="195" t="s">
        <v>144</v>
      </c>
      <c r="O55" s="196" t="s">
        <v>144</v>
      </c>
      <c r="P55" s="197">
        <f>SUM(P56:P59)</f>
        <v>1118935.41</v>
      </c>
      <c r="R55" s="161">
        <f>SUM(R56:R59)</f>
        <v>0</v>
      </c>
    </row>
    <row r="56" ht="15.75" spans="1:18">
      <c r="A56" s="194"/>
      <c r="B56" s="178"/>
      <c r="C56" s="174"/>
      <c r="D56" s="174"/>
      <c r="E56" s="176">
        <f t="shared" si="9"/>
        <v>50580986.19</v>
      </c>
      <c r="F56" s="179">
        <v>0</v>
      </c>
      <c r="G56" s="179">
        <v>20564262.8</v>
      </c>
      <c r="H56" s="179">
        <v>14934521.75</v>
      </c>
      <c r="I56" s="179">
        <v>15082201.64</v>
      </c>
      <c r="J56" s="179">
        <v>0</v>
      </c>
      <c r="K56" s="179">
        <v>0</v>
      </c>
      <c r="L56" s="179">
        <v>0</v>
      </c>
      <c r="M56" s="179">
        <v>0</v>
      </c>
      <c r="N56" s="195" t="s">
        <v>78</v>
      </c>
      <c r="O56" s="208" t="s">
        <v>105</v>
      </c>
      <c r="P56" s="198"/>
      <c r="R56" s="160"/>
    </row>
    <row r="57" ht="15.75" spans="1:18">
      <c r="A57" s="194"/>
      <c r="B57" s="178"/>
      <c r="C57" s="174"/>
      <c r="D57" s="174"/>
      <c r="E57" s="176">
        <f t="shared" si="9"/>
        <v>1038677.52</v>
      </c>
      <c r="F57" s="179">
        <v>0</v>
      </c>
      <c r="G57" s="179">
        <v>419678.84</v>
      </c>
      <c r="H57" s="179">
        <v>304786.15</v>
      </c>
      <c r="I57" s="179">
        <v>314212.53</v>
      </c>
      <c r="J57" s="179">
        <v>0</v>
      </c>
      <c r="K57" s="179">
        <v>0</v>
      </c>
      <c r="L57" s="179">
        <v>0</v>
      </c>
      <c r="M57" s="179">
        <v>0</v>
      </c>
      <c r="N57" s="195" t="s">
        <v>71</v>
      </c>
      <c r="O57" s="208"/>
      <c r="P57" s="198"/>
      <c r="R57" s="160"/>
    </row>
    <row r="58" ht="15.75" spans="1:18">
      <c r="A58" s="194"/>
      <c r="B58" s="178"/>
      <c r="C58" s="174"/>
      <c r="D58" s="174"/>
      <c r="E58" s="176">
        <f t="shared" si="9"/>
        <v>521410.76</v>
      </c>
      <c r="F58" s="179">
        <v>0</v>
      </c>
      <c r="G58" s="179">
        <v>211959.01</v>
      </c>
      <c r="H58" s="180">
        <v>153932.41</v>
      </c>
      <c r="I58" s="179">
        <v>155519.34</v>
      </c>
      <c r="J58" s="179">
        <v>0</v>
      </c>
      <c r="K58" s="179">
        <v>0</v>
      </c>
      <c r="L58" s="179">
        <v>0</v>
      </c>
      <c r="M58" s="179">
        <v>0</v>
      </c>
      <c r="N58" s="195" t="s">
        <v>147</v>
      </c>
      <c r="O58" s="208"/>
      <c r="P58" s="198"/>
      <c r="R58" s="160"/>
    </row>
    <row r="59" ht="15.75" spans="1:18">
      <c r="A59" s="194"/>
      <c r="B59" s="178"/>
      <c r="C59" s="174"/>
      <c r="D59" s="174"/>
      <c r="E59" s="176">
        <f t="shared" si="9"/>
        <v>29891024.65</v>
      </c>
      <c r="F59" s="179">
        <v>0</v>
      </c>
      <c r="G59" s="179">
        <f>26579639.54+P59</f>
        <v>27698574.95</v>
      </c>
      <c r="H59" s="179">
        <v>2192449.7</v>
      </c>
      <c r="I59" s="179">
        <v>0</v>
      </c>
      <c r="J59" s="179">
        <v>0</v>
      </c>
      <c r="K59" s="179">
        <v>0</v>
      </c>
      <c r="L59" s="179">
        <v>0</v>
      </c>
      <c r="M59" s="179">
        <v>0</v>
      </c>
      <c r="N59" s="195" t="s">
        <v>73</v>
      </c>
      <c r="O59" s="208"/>
      <c r="P59" s="198">
        <f>9231.48+572032.86+537671.07</f>
        <v>1118935.41</v>
      </c>
      <c r="R59" s="162"/>
    </row>
    <row r="60" s="1" customFormat="1" ht="15.75" spans="1:18">
      <c r="A60" s="194" t="s">
        <v>128</v>
      </c>
      <c r="B60" s="178" t="s">
        <v>129</v>
      </c>
      <c r="C60" s="174" t="s">
        <v>145</v>
      </c>
      <c r="D60" s="174" t="s">
        <v>123</v>
      </c>
      <c r="E60" s="176">
        <f t="shared" si="9"/>
        <v>67943374.69</v>
      </c>
      <c r="F60" s="177">
        <f t="shared" ref="F60:M60" si="20">F62+F61+F63</f>
        <v>19556252.73</v>
      </c>
      <c r="G60" s="177">
        <f t="shared" si="20"/>
        <v>13078451.85</v>
      </c>
      <c r="H60" s="177">
        <f t="shared" si="20"/>
        <v>35308670.11</v>
      </c>
      <c r="I60" s="177">
        <f t="shared" si="20"/>
        <v>0</v>
      </c>
      <c r="J60" s="177">
        <f t="shared" si="20"/>
        <v>0</v>
      </c>
      <c r="K60" s="177">
        <f t="shared" si="20"/>
        <v>0</v>
      </c>
      <c r="L60" s="177">
        <f t="shared" si="20"/>
        <v>0</v>
      </c>
      <c r="M60" s="177">
        <f t="shared" si="20"/>
        <v>0</v>
      </c>
      <c r="N60" s="195" t="s">
        <v>144</v>
      </c>
      <c r="O60" s="196" t="s">
        <v>144</v>
      </c>
      <c r="P60" s="201">
        <f>P62+P61+P63</f>
        <v>0</v>
      </c>
      <c r="Q60" s="78"/>
      <c r="R60" s="118">
        <f>R62+R61+R63</f>
        <v>0</v>
      </c>
    </row>
    <row r="61" s="1" customFormat="1" ht="15.75" spans="1:18">
      <c r="A61" s="194"/>
      <c r="B61" s="178"/>
      <c r="C61" s="174"/>
      <c r="D61" s="174"/>
      <c r="E61" s="176">
        <f t="shared" si="9"/>
        <v>36175014.23</v>
      </c>
      <c r="F61" s="179">
        <v>14358252.73</v>
      </c>
      <c r="G61" s="179">
        <f>1749443.35+249648.04+6859000+P61</f>
        <v>8858091.39</v>
      </c>
      <c r="H61" s="179">
        <f>11958670.11+1000000</f>
        <v>12958670.11</v>
      </c>
      <c r="I61" s="179">
        <v>0</v>
      </c>
      <c r="J61" s="179">
        <v>0</v>
      </c>
      <c r="K61" s="179">
        <v>0</v>
      </c>
      <c r="L61" s="179">
        <v>0</v>
      </c>
      <c r="M61" s="179">
        <v>0</v>
      </c>
      <c r="N61" s="195" t="s">
        <v>73</v>
      </c>
      <c r="O61" s="196" t="s">
        <v>105</v>
      </c>
      <c r="P61" s="198"/>
      <c r="Q61" s="78"/>
      <c r="R61" s="156"/>
    </row>
    <row r="62" s="1" customFormat="1" ht="15.75" spans="1:18">
      <c r="A62" s="194"/>
      <c r="B62" s="178"/>
      <c r="C62" s="174"/>
      <c r="D62" s="174"/>
      <c r="E62" s="176">
        <f t="shared" si="9"/>
        <v>26738360.46</v>
      </c>
      <c r="F62" s="179">
        <v>4600000</v>
      </c>
      <c r="G62" s="179">
        <v>2938360.46</v>
      </c>
      <c r="H62" s="179">
        <f>8000000+1200000+10000000</f>
        <v>19200000</v>
      </c>
      <c r="I62" s="179">
        <v>0</v>
      </c>
      <c r="J62" s="179">
        <v>0</v>
      </c>
      <c r="K62" s="179">
        <v>0</v>
      </c>
      <c r="L62" s="179">
        <v>0</v>
      </c>
      <c r="M62" s="179">
        <v>0</v>
      </c>
      <c r="N62" s="195" t="s">
        <v>73</v>
      </c>
      <c r="O62" s="196" t="s">
        <v>146</v>
      </c>
      <c r="P62" s="198"/>
      <c r="Q62" s="78"/>
      <c r="R62" s="157"/>
    </row>
    <row r="63" s="1" customFormat="1" ht="28.5" spans="1:18">
      <c r="A63" s="194"/>
      <c r="B63" s="178"/>
      <c r="C63" s="174"/>
      <c r="D63" s="174"/>
      <c r="E63" s="176">
        <f t="shared" si="9"/>
        <v>5030000</v>
      </c>
      <c r="F63" s="179">
        <v>598000</v>
      </c>
      <c r="G63" s="179">
        <v>1282000</v>
      </c>
      <c r="H63" s="179">
        <v>3150000</v>
      </c>
      <c r="I63" s="179">
        <v>0</v>
      </c>
      <c r="J63" s="179">
        <v>0</v>
      </c>
      <c r="K63" s="179">
        <v>0</v>
      </c>
      <c r="L63" s="179">
        <v>0</v>
      </c>
      <c r="M63" s="179">
        <v>0</v>
      </c>
      <c r="N63" s="195" t="s">
        <v>73</v>
      </c>
      <c r="O63" s="207" t="s">
        <v>101</v>
      </c>
      <c r="P63" s="198"/>
      <c r="Q63" s="78"/>
      <c r="R63" s="157"/>
    </row>
    <row r="64" ht="18.75" spans="1:16">
      <c r="A64" s="191" t="s">
        <v>55</v>
      </c>
      <c r="B64" s="191" t="s">
        <v>56</v>
      </c>
      <c r="C64" s="191"/>
      <c r="D64" s="191"/>
      <c r="E64" s="192"/>
      <c r="F64" s="192"/>
      <c r="G64" s="192"/>
      <c r="H64" s="192"/>
      <c r="I64" s="192"/>
      <c r="J64" s="192"/>
      <c r="K64" s="191"/>
      <c r="L64" s="191"/>
      <c r="M64" s="191"/>
      <c r="N64" s="191"/>
      <c r="O64" s="191"/>
      <c r="P64" s="202"/>
    </row>
    <row r="65" ht="15.75" spans="1:18">
      <c r="A65" s="193" t="s">
        <v>57</v>
      </c>
      <c r="B65" s="178" t="s">
        <v>160</v>
      </c>
      <c r="C65" s="174" t="s">
        <v>145</v>
      </c>
      <c r="D65" s="174" t="s">
        <v>150</v>
      </c>
      <c r="E65" s="177">
        <f t="shared" ref="E65:E71" si="21">F65+G65+H65+I65+J65</f>
        <v>27666775.9</v>
      </c>
      <c r="F65" s="177">
        <f t="shared" ref="F65:M65" si="22">F66+F67</f>
        <v>8737726.51</v>
      </c>
      <c r="G65" s="177">
        <f t="shared" si="22"/>
        <v>8609196.32</v>
      </c>
      <c r="H65" s="177">
        <f t="shared" si="22"/>
        <v>10319853.07</v>
      </c>
      <c r="I65" s="177">
        <f t="shared" si="22"/>
        <v>0</v>
      </c>
      <c r="J65" s="177">
        <f t="shared" si="22"/>
        <v>0</v>
      </c>
      <c r="K65" s="177">
        <f t="shared" si="22"/>
        <v>0</v>
      </c>
      <c r="L65" s="177">
        <f t="shared" si="22"/>
        <v>0</v>
      </c>
      <c r="M65" s="177">
        <f t="shared" si="22"/>
        <v>0</v>
      </c>
      <c r="N65" s="195" t="s">
        <v>10</v>
      </c>
      <c r="O65" s="204" t="s">
        <v>144</v>
      </c>
      <c r="P65" s="201">
        <f>P66+P67</f>
        <v>-923148</v>
      </c>
      <c r="R65" s="139">
        <f>R66+R67</f>
        <v>0</v>
      </c>
    </row>
    <row r="66" ht="15.75" spans="1:18">
      <c r="A66" s="193"/>
      <c r="B66" s="178"/>
      <c r="C66" s="174"/>
      <c r="D66" s="174"/>
      <c r="E66" s="177">
        <f t="shared" si="21"/>
        <v>27379758.14</v>
      </c>
      <c r="F66" s="179">
        <f t="shared" ref="F66:M66" si="23">F68+F69</f>
        <v>8639999.24</v>
      </c>
      <c r="G66" s="179">
        <f t="shared" si="23"/>
        <v>8523104.36</v>
      </c>
      <c r="H66" s="179">
        <v>10216654.54</v>
      </c>
      <c r="I66" s="179">
        <f t="shared" si="23"/>
        <v>0</v>
      </c>
      <c r="J66" s="179">
        <f t="shared" si="23"/>
        <v>0</v>
      </c>
      <c r="K66" s="179">
        <f t="shared" si="23"/>
        <v>0</v>
      </c>
      <c r="L66" s="179">
        <f t="shared" si="23"/>
        <v>0</v>
      </c>
      <c r="M66" s="179">
        <f t="shared" si="23"/>
        <v>0</v>
      </c>
      <c r="N66" s="199" t="s">
        <v>15</v>
      </c>
      <c r="O66" s="204" t="s">
        <v>144</v>
      </c>
      <c r="P66" s="201">
        <f>P68+P69</f>
        <v>-913916.52</v>
      </c>
      <c r="R66" s="129"/>
    </row>
    <row r="67" ht="15.75" spans="1:18">
      <c r="A67" s="193"/>
      <c r="B67" s="178"/>
      <c r="C67" s="174"/>
      <c r="D67" s="174"/>
      <c r="E67" s="177">
        <f t="shared" si="21"/>
        <v>287017.76</v>
      </c>
      <c r="F67" s="179">
        <f t="shared" ref="F67:M67" si="24">F70+F71</f>
        <v>97727.27</v>
      </c>
      <c r="G67" s="179">
        <f t="shared" si="24"/>
        <v>86091.96</v>
      </c>
      <c r="H67" s="179">
        <v>103198.53</v>
      </c>
      <c r="I67" s="179">
        <f t="shared" si="24"/>
        <v>0</v>
      </c>
      <c r="J67" s="179">
        <f t="shared" si="24"/>
        <v>0</v>
      </c>
      <c r="K67" s="179">
        <f t="shared" si="24"/>
        <v>0</v>
      </c>
      <c r="L67" s="179">
        <f t="shared" si="24"/>
        <v>0</v>
      </c>
      <c r="M67" s="179">
        <f t="shared" si="24"/>
        <v>0</v>
      </c>
      <c r="N67" s="199" t="s">
        <v>16</v>
      </c>
      <c r="O67" s="204" t="s">
        <v>144</v>
      </c>
      <c r="P67" s="201">
        <f>P70+P71</f>
        <v>-9231.48</v>
      </c>
      <c r="R67" s="129"/>
    </row>
    <row r="68" ht="15.75" spans="1:18">
      <c r="A68" s="194" t="s">
        <v>59</v>
      </c>
      <c r="B68" s="178" t="s">
        <v>86</v>
      </c>
      <c r="C68" s="174" t="s">
        <v>145</v>
      </c>
      <c r="D68" s="174" t="s">
        <v>150</v>
      </c>
      <c r="E68" s="177">
        <f t="shared" si="21"/>
        <v>27379758.14</v>
      </c>
      <c r="F68" s="179">
        <f>9674999.52-1035000.28</f>
        <v>8639999.24</v>
      </c>
      <c r="G68" s="179">
        <f>9437020.88+P68</f>
        <v>8523104.36</v>
      </c>
      <c r="H68" s="179">
        <v>10216654.54</v>
      </c>
      <c r="I68" s="177">
        <v>0</v>
      </c>
      <c r="J68" s="177">
        <v>0</v>
      </c>
      <c r="K68" s="177">
        <v>0</v>
      </c>
      <c r="L68" s="177">
        <v>0</v>
      </c>
      <c r="M68" s="177">
        <v>0</v>
      </c>
      <c r="N68" s="195" t="s">
        <v>161</v>
      </c>
      <c r="O68" s="204" t="s">
        <v>105</v>
      </c>
      <c r="P68" s="216">
        <f>-855000.27+-58916.25</f>
        <v>-913916.52</v>
      </c>
      <c r="Q68" s="7" t="s">
        <v>204</v>
      </c>
      <c r="R68" s="159"/>
    </row>
    <row r="69" ht="15.75" spans="1:18">
      <c r="A69" s="194"/>
      <c r="B69" s="178"/>
      <c r="C69" s="174"/>
      <c r="D69" s="174"/>
      <c r="E69" s="209">
        <f t="shared" si="21"/>
        <v>0</v>
      </c>
      <c r="F69" s="179">
        <v>0</v>
      </c>
      <c r="G69" s="179">
        <v>0</v>
      </c>
      <c r="H69" s="210">
        <v>0</v>
      </c>
      <c r="I69" s="179">
        <v>0</v>
      </c>
      <c r="J69" s="179">
        <v>0</v>
      </c>
      <c r="K69" s="179">
        <v>0</v>
      </c>
      <c r="L69" s="179">
        <v>0</v>
      </c>
      <c r="M69" s="179">
        <v>0</v>
      </c>
      <c r="N69" s="195" t="s">
        <v>161</v>
      </c>
      <c r="O69" s="204" t="s">
        <v>146</v>
      </c>
      <c r="P69" s="216"/>
      <c r="R69" s="160"/>
    </row>
    <row r="70" ht="15.75" spans="1:18">
      <c r="A70" s="194"/>
      <c r="B70" s="178"/>
      <c r="C70" s="174"/>
      <c r="D70" s="174"/>
      <c r="E70" s="209">
        <f t="shared" si="21"/>
        <v>287017.76</v>
      </c>
      <c r="F70" s="179">
        <v>97727.27</v>
      </c>
      <c r="G70" s="179">
        <f>95323.44+P70</f>
        <v>86091.96</v>
      </c>
      <c r="H70" s="210">
        <v>103198.53</v>
      </c>
      <c r="I70" s="179">
        <v>0</v>
      </c>
      <c r="J70" s="179">
        <v>0</v>
      </c>
      <c r="K70" s="179">
        <v>0</v>
      </c>
      <c r="L70" s="179">
        <v>0</v>
      </c>
      <c r="M70" s="179">
        <v>0</v>
      </c>
      <c r="N70" s="195" t="s">
        <v>147</v>
      </c>
      <c r="O70" s="204" t="s">
        <v>105</v>
      </c>
      <c r="P70" s="216">
        <f>-8636.37+-595.11</f>
        <v>-9231.48</v>
      </c>
      <c r="Q70" s="7" t="s">
        <v>205</v>
      </c>
      <c r="R70" s="160"/>
    </row>
    <row r="71" ht="15.75" spans="1:18">
      <c r="A71" s="194"/>
      <c r="B71" s="178"/>
      <c r="C71" s="174"/>
      <c r="D71" s="174"/>
      <c r="E71" s="177">
        <f t="shared" si="21"/>
        <v>0</v>
      </c>
      <c r="F71" s="179">
        <v>0</v>
      </c>
      <c r="G71" s="179">
        <v>0</v>
      </c>
      <c r="H71" s="179">
        <v>0</v>
      </c>
      <c r="I71" s="179">
        <v>0</v>
      </c>
      <c r="J71" s="179">
        <v>0</v>
      </c>
      <c r="K71" s="179">
        <v>0</v>
      </c>
      <c r="L71" s="179">
        <v>0</v>
      </c>
      <c r="M71" s="179">
        <v>0</v>
      </c>
      <c r="N71" s="195" t="s">
        <v>16</v>
      </c>
      <c r="O71" s="204" t="s">
        <v>162</v>
      </c>
      <c r="P71" s="216"/>
      <c r="R71" s="160"/>
    </row>
    <row r="72" ht="16.5" customHeight="1" spans="1:18">
      <c r="A72" s="191" t="s">
        <v>163</v>
      </c>
      <c r="B72" s="211" t="s">
        <v>185</v>
      </c>
      <c r="C72" s="191" t="s">
        <v>144</v>
      </c>
      <c r="D72" s="191" t="s">
        <v>144</v>
      </c>
      <c r="E72" s="212">
        <f t="shared" ref="E72:E76" si="25">SUM(F72:M72)</f>
        <v>1095811488.18</v>
      </c>
      <c r="F72" s="213">
        <f t="shared" ref="F72:M72" si="26">F73+F74+F75+F76</f>
        <v>311612202.48</v>
      </c>
      <c r="G72" s="213">
        <f t="shared" si="26"/>
        <v>291518762.75</v>
      </c>
      <c r="H72" s="209">
        <f t="shared" si="26"/>
        <v>192472876.66</v>
      </c>
      <c r="I72" s="213">
        <f t="shared" si="26"/>
        <v>157568118.17</v>
      </c>
      <c r="J72" s="213">
        <f t="shared" si="26"/>
        <v>142639528.12</v>
      </c>
      <c r="K72" s="213">
        <f t="shared" si="26"/>
        <v>0</v>
      </c>
      <c r="L72" s="213">
        <f t="shared" si="26"/>
        <v>0</v>
      </c>
      <c r="M72" s="213">
        <f t="shared" si="26"/>
        <v>0</v>
      </c>
      <c r="N72" s="195" t="s">
        <v>4</v>
      </c>
      <c r="O72" s="213" t="s">
        <v>144</v>
      </c>
      <c r="P72" s="217">
        <f>P73+P74+P75+P76</f>
        <v>195787.41</v>
      </c>
      <c r="R72" s="161">
        <f>R73+R74+R75+R76</f>
        <v>0</v>
      </c>
    </row>
    <row r="73" ht="18.75" spans="1:18">
      <c r="A73" s="191" t="s">
        <v>164</v>
      </c>
      <c r="B73" s="211"/>
      <c r="C73" s="191" t="s">
        <v>144</v>
      </c>
      <c r="D73" s="191" t="s">
        <v>144</v>
      </c>
      <c r="E73" s="213">
        <f t="shared" si="25"/>
        <v>423038068.94</v>
      </c>
      <c r="F73" s="177">
        <f t="shared" ref="F73:M73" si="27">F19+F41</f>
        <v>226297399.5</v>
      </c>
      <c r="G73" s="177">
        <f t="shared" si="27"/>
        <v>57165901.86</v>
      </c>
      <c r="H73" s="177">
        <f t="shared" si="27"/>
        <v>51494999.9</v>
      </c>
      <c r="I73" s="177">
        <f t="shared" si="27"/>
        <v>52350884.42</v>
      </c>
      <c r="J73" s="177">
        <f t="shared" si="27"/>
        <v>35728883.26</v>
      </c>
      <c r="K73" s="177">
        <f t="shared" si="27"/>
        <v>0</v>
      </c>
      <c r="L73" s="177">
        <f t="shared" si="27"/>
        <v>0</v>
      </c>
      <c r="M73" s="177">
        <f t="shared" si="27"/>
        <v>0</v>
      </c>
      <c r="N73" s="195" t="s">
        <v>14</v>
      </c>
      <c r="O73" s="213" t="s">
        <v>144</v>
      </c>
      <c r="P73" s="197">
        <f>P19+P41</f>
        <v>0</v>
      </c>
      <c r="R73" s="161">
        <f>R19+R41</f>
        <v>0</v>
      </c>
    </row>
    <row r="74" ht="18.75" spans="1:18">
      <c r="A74" s="191" t="s">
        <v>165</v>
      </c>
      <c r="B74" s="211"/>
      <c r="C74" s="191" t="s">
        <v>144</v>
      </c>
      <c r="D74" s="191" t="s">
        <v>144</v>
      </c>
      <c r="E74" s="212">
        <f t="shared" si="25"/>
        <v>299526026.01</v>
      </c>
      <c r="F74" s="177">
        <f t="shared" ref="F74:F75" si="28">F20+F42+F66</f>
        <v>41450803.69</v>
      </c>
      <c r="G74" s="177">
        <f t="shared" ref="G74:G75" si="29">G20+G42+G66</f>
        <v>87283476.32</v>
      </c>
      <c r="H74" s="209">
        <f t="shared" ref="H74:H75" si="30">H20+H42+H66</f>
        <v>12244120.39</v>
      </c>
      <c r="I74" s="177">
        <f>I20+I42+I66</f>
        <v>79446137.44</v>
      </c>
      <c r="J74" s="177">
        <f t="shared" ref="J74:J75" si="31">J20+J42+J66</f>
        <v>79101488.17</v>
      </c>
      <c r="K74" s="177">
        <f t="shared" ref="K74:K75" si="32">K20+K42+K66</f>
        <v>0</v>
      </c>
      <c r="L74" s="177">
        <f t="shared" ref="L74:L75" si="33">L20+L42+L66</f>
        <v>0</v>
      </c>
      <c r="M74" s="177">
        <f t="shared" ref="M74:M75" si="34">M20+M42+M66</f>
        <v>0</v>
      </c>
      <c r="N74" s="195" t="s">
        <v>71</v>
      </c>
      <c r="O74" s="213" t="s">
        <v>144</v>
      </c>
      <c r="P74" s="197">
        <f t="shared" ref="P74:P75" si="35">P20+P42+P66</f>
        <v>-913916.52</v>
      </c>
      <c r="R74" s="161">
        <f t="shared" ref="R74:R75" si="36">R20+R42+R66</f>
        <v>0</v>
      </c>
    </row>
    <row r="75" ht="18.75" customHeight="1" spans="1:18">
      <c r="A75" s="191" t="s">
        <v>166</v>
      </c>
      <c r="B75" s="211"/>
      <c r="C75" s="191" t="s">
        <v>144</v>
      </c>
      <c r="D75" s="191" t="s">
        <v>144</v>
      </c>
      <c r="E75" s="212">
        <f t="shared" si="25"/>
        <v>12569979.14</v>
      </c>
      <c r="F75" s="177">
        <f t="shared" si="28"/>
        <v>2128776.56</v>
      </c>
      <c r="G75" s="177">
        <f t="shared" si="29"/>
        <v>2885538.24</v>
      </c>
      <c r="H75" s="209">
        <f t="shared" si="30"/>
        <v>475411.34</v>
      </c>
      <c r="I75" s="177">
        <f t="shared" ref="I74:I75" si="37">I21+I43+I67</f>
        <v>2771096.31</v>
      </c>
      <c r="J75" s="177">
        <f t="shared" si="31"/>
        <v>4309156.69</v>
      </c>
      <c r="K75" s="177">
        <f t="shared" si="32"/>
        <v>0</v>
      </c>
      <c r="L75" s="177">
        <f t="shared" si="33"/>
        <v>0</v>
      </c>
      <c r="M75" s="177">
        <f t="shared" si="34"/>
        <v>0</v>
      </c>
      <c r="N75" s="195" t="s">
        <v>16</v>
      </c>
      <c r="O75" s="213" t="s">
        <v>144</v>
      </c>
      <c r="P75" s="197">
        <f t="shared" si="35"/>
        <v>-9231.48</v>
      </c>
      <c r="R75" s="219">
        <f t="shared" si="36"/>
        <v>0</v>
      </c>
    </row>
    <row r="76" ht="18.75" customHeight="1" spans="1:18">
      <c r="A76" s="191" t="s">
        <v>167</v>
      </c>
      <c r="B76" s="211"/>
      <c r="C76" s="191" t="s">
        <v>144</v>
      </c>
      <c r="D76" s="191" t="s">
        <v>144</v>
      </c>
      <c r="E76" s="213">
        <f t="shared" si="25"/>
        <v>360677414.09</v>
      </c>
      <c r="F76" s="176">
        <f>F44+F22</f>
        <v>41735222.73</v>
      </c>
      <c r="G76" s="176">
        <f>G44+G22</f>
        <v>144183846.33</v>
      </c>
      <c r="H76" s="214">
        <f>H44+H22</f>
        <v>128258345.03</v>
      </c>
      <c r="I76" s="176">
        <f>I44+I22</f>
        <v>23000000</v>
      </c>
      <c r="J76" s="176">
        <f>J44+J22</f>
        <v>23500000</v>
      </c>
      <c r="K76" s="176">
        <f t="shared" ref="H76:M76" si="38">K44</f>
        <v>0</v>
      </c>
      <c r="L76" s="176">
        <f t="shared" si="38"/>
        <v>0</v>
      </c>
      <c r="M76" s="176">
        <f t="shared" si="38"/>
        <v>0</v>
      </c>
      <c r="N76" s="195" t="s">
        <v>73</v>
      </c>
      <c r="O76" s="213" t="s">
        <v>144</v>
      </c>
      <c r="P76" s="203">
        <f>P44+P22</f>
        <v>1118935.41</v>
      </c>
      <c r="R76" s="155">
        <f>R44+R22</f>
        <v>0</v>
      </c>
    </row>
    <row r="77" ht="18.75" spans="1:16">
      <c r="A77" s="215" t="s">
        <v>206</v>
      </c>
      <c r="B77" s="215"/>
      <c r="C77" s="215"/>
      <c r="D77" s="215"/>
      <c r="E77" s="181"/>
      <c r="F77" s="181"/>
      <c r="G77" s="181"/>
      <c r="H77" s="181"/>
      <c r="I77" s="181"/>
      <c r="J77" s="181"/>
      <c r="K77" s="199"/>
      <c r="L77" s="199"/>
      <c r="M77" s="199"/>
      <c r="N77" s="195"/>
      <c r="O77" s="218"/>
      <c r="P77" s="198"/>
    </row>
    <row r="78" ht="15.75" hidden="1" spans="1:17">
      <c r="A78" s="83"/>
      <c r="B78" s="84"/>
      <c r="C78" s="84"/>
      <c r="D78" s="84"/>
      <c r="E78" s="85" t="e">
        <f>E72-#REF!</f>
        <v>#REF!</v>
      </c>
      <c r="F78" s="85">
        <f>F72-'изм 48 коррект бюджет'!F69</f>
        <v>0</v>
      </c>
      <c r="G78" s="85" t="e">
        <f>G72-#REF!</f>
        <v>#REF!</v>
      </c>
      <c r="H78" s="85">
        <f>H72-'изм 48 коррект бюджет'!H69</f>
        <v>112479349.97</v>
      </c>
      <c r="I78" s="85">
        <f>I72-'изм 48 коррект бюджет'!I69</f>
        <v>77574591.48</v>
      </c>
      <c r="J78" s="29"/>
      <c r="K78" s="93"/>
      <c r="L78" s="93"/>
      <c r="M78" s="93"/>
      <c r="N78" s="93"/>
      <c r="Q78" s="114">
        <f>(G75+G76)/1000000</f>
        <v>147.06938457</v>
      </c>
    </row>
    <row r="79" ht="18.75" spans="1:15">
      <c r="A79" s="83"/>
      <c r="B79" s="86" t="s">
        <v>187</v>
      </c>
      <c r="I79" s="94"/>
      <c r="J79" s="29"/>
      <c r="K79" s="95" t="s">
        <v>87</v>
      </c>
      <c r="L79" s="95"/>
      <c r="M79" s="95"/>
      <c r="N79" s="96">
        <v>178063747.64</v>
      </c>
      <c r="O79" s="96"/>
    </row>
    <row r="80" s="1" customFormat="1" ht="18.75" spans="1:18">
      <c r="A80" s="83"/>
      <c r="B80" s="86"/>
      <c r="C80" s="3"/>
      <c r="D80" s="3"/>
      <c r="E80" s="2"/>
      <c r="F80" s="2"/>
      <c r="G80" s="2"/>
      <c r="H80" s="2"/>
      <c r="I80" s="97"/>
      <c r="J80" s="29"/>
      <c r="K80" s="95" t="s">
        <v>88</v>
      </c>
      <c r="L80" s="95"/>
      <c r="M80" s="95"/>
      <c r="N80" s="96">
        <v>506829756.46</v>
      </c>
      <c r="O80" s="96"/>
      <c r="P80" s="98"/>
      <c r="Q80" s="78"/>
      <c r="R80" s="153"/>
    </row>
    <row r="81" s="1" customFormat="1" ht="18.75" spans="1:18">
      <c r="A81" s="83"/>
      <c r="B81" s="86" t="s">
        <v>188</v>
      </c>
      <c r="C81" s="3"/>
      <c r="D81" s="3"/>
      <c r="E81" s="2"/>
      <c r="F81" s="2"/>
      <c r="G81" s="2"/>
      <c r="H81" s="2"/>
      <c r="I81" s="97"/>
      <c r="J81" s="29"/>
      <c r="K81" s="99" t="s">
        <v>157</v>
      </c>
      <c r="L81" s="99"/>
      <c r="M81" s="99"/>
      <c r="N81" s="100">
        <f>N82+N83+N84</f>
        <v>953171960.06</v>
      </c>
      <c r="O81" s="100"/>
      <c r="P81" s="98"/>
      <c r="Q81" s="78"/>
      <c r="R81" s="153"/>
    </row>
    <row r="82" s="1" customFormat="1" ht="18.75" spans="1:18">
      <c r="A82" s="83"/>
      <c r="B82" s="86" t="s">
        <v>189</v>
      </c>
      <c r="C82" s="3"/>
      <c r="D82" s="3"/>
      <c r="E82" s="2"/>
      <c r="F82" s="2"/>
      <c r="G82" s="2"/>
      <c r="H82" s="2"/>
      <c r="I82" s="97"/>
      <c r="J82" s="29"/>
      <c r="K82" s="101" t="s">
        <v>157</v>
      </c>
      <c r="L82" s="101"/>
      <c r="M82" s="102" t="s">
        <v>14</v>
      </c>
      <c r="N82" s="103">
        <f t="shared" ref="N82:N83" si="39">F73+G73+H73+I73</f>
        <v>387309185.68</v>
      </c>
      <c r="O82" s="103"/>
      <c r="P82" s="98"/>
      <c r="Q82" s="78"/>
      <c r="R82" s="153"/>
    </row>
    <row r="83" s="1" customFormat="1" ht="18.75" spans="1:18">
      <c r="A83" s="83"/>
      <c r="B83" s="86" t="s">
        <v>190</v>
      </c>
      <c r="C83" s="3"/>
      <c r="D83" s="3"/>
      <c r="E83" s="2"/>
      <c r="F83" s="2"/>
      <c r="G83" s="2"/>
      <c r="H83" s="2"/>
      <c r="I83" s="97"/>
      <c r="J83" s="29"/>
      <c r="K83" s="101" t="s">
        <v>157</v>
      </c>
      <c r="L83" s="101"/>
      <c r="M83" s="102" t="s">
        <v>71</v>
      </c>
      <c r="N83" s="104">
        <f t="shared" si="39"/>
        <v>220424537.84</v>
      </c>
      <c r="O83" s="104"/>
      <c r="P83" s="98"/>
      <c r="Q83" s="78"/>
      <c r="R83" s="153"/>
    </row>
    <row r="84" s="1" customFormat="1" ht="18.75" spans="1:18">
      <c r="A84" s="83"/>
      <c r="B84" s="86" t="s">
        <v>191</v>
      </c>
      <c r="C84" s="3"/>
      <c r="D84" s="3"/>
      <c r="E84" s="2"/>
      <c r="F84" s="2"/>
      <c r="G84" s="2"/>
      <c r="H84" s="2"/>
      <c r="I84" s="97"/>
      <c r="J84" s="29"/>
      <c r="K84" s="101" t="s">
        <v>157</v>
      </c>
      <c r="L84" s="101"/>
      <c r="M84" s="105" t="s">
        <v>207</v>
      </c>
      <c r="N84" s="106">
        <f>N85+N86</f>
        <v>345438236.54</v>
      </c>
      <c r="O84" s="107"/>
      <c r="P84" s="98"/>
      <c r="Q84" s="78"/>
      <c r="R84" s="153"/>
    </row>
    <row r="85" s="1" customFormat="1" ht="18.75" spans="1:18">
      <c r="A85" s="83"/>
      <c r="B85" s="87" t="s">
        <v>192</v>
      </c>
      <c r="C85" s="87"/>
      <c r="D85" s="87"/>
      <c r="E85" s="88"/>
      <c r="F85" s="88"/>
      <c r="G85" s="88"/>
      <c r="H85" s="88"/>
      <c r="I85" s="97"/>
      <c r="J85" s="29"/>
      <c r="K85" s="101" t="s">
        <v>157</v>
      </c>
      <c r="L85" s="101"/>
      <c r="M85" s="105" t="s">
        <v>16</v>
      </c>
      <c r="N85" s="108">
        <f t="shared" ref="N85:N86" si="40">F75+G75+H75+I75</f>
        <v>8260822.45</v>
      </c>
      <c r="O85" s="108"/>
      <c r="P85" s="109">
        <f>N85+N86</f>
        <v>345438236.54</v>
      </c>
      <c r="Q85" s="78"/>
      <c r="R85" s="153"/>
    </row>
    <row r="86" s="1" customFormat="1" ht="18.75" spans="1:18">
      <c r="A86" s="83"/>
      <c r="B86" s="86" t="s">
        <v>193</v>
      </c>
      <c r="C86" s="3"/>
      <c r="D86" s="3"/>
      <c r="E86" s="2"/>
      <c r="F86" s="2"/>
      <c r="G86" s="2"/>
      <c r="H86" s="2"/>
      <c r="I86" s="97"/>
      <c r="J86" s="29"/>
      <c r="K86" s="101" t="s">
        <v>157</v>
      </c>
      <c r="L86" s="101"/>
      <c r="M86" s="105" t="s">
        <v>73</v>
      </c>
      <c r="N86" s="108">
        <f t="shared" si="40"/>
        <v>337177414.09</v>
      </c>
      <c r="O86" s="108"/>
      <c r="P86" s="109"/>
      <c r="Q86" s="78"/>
      <c r="R86" s="153"/>
    </row>
    <row r="87" s="1" customFormat="1" ht="18.75" spans="1:18">
      <c r="A87" s="83"/>
      <c r="B87" s="86" t="s">
        <v>195</v>
      </c>
      <c r="C87" s="3"/>
      <c r="D87" s="3"/>
      <c r="E87" s="2"/>
      <c r="F87" s="2"/>
      <c r="G87" s="2"/>
      <c r="H87" s="2"/>
      <c r="I87" s="97"/>
      <c r="J87" s="29"/>
      <c r="K87" s="95" t="s">
        <v>194</v>
      </c>
      <c r="L87" s="95"/>
      <c r="M87" s="95"/>
      <c r="N87" s="110">
        <f>J72+K72+L72+M72</f>
        <v>142639528.12</v>
      </c>
      <c r="O87" s="110"/>
      <c r="P87" s="98"/>
      <c r="Q87" s="78"/>
      <c r="R87" s="153"/>
    </row>
    <row r="88" ht="18.75" spans="2:15">
      <c r="B88" s="86" t="s">
        <v>196</v>
      </c>
      <c r="I88" s="85"/>
      <c r="J88" s="29"/>
      <c r="K88" s="29"/>
      <c r="L88" s="29"/>
      <c r="M88" s="29"/>
      <c r="N88" s="111">
        <f>N87+N81+N80+N79</f>
        <v>1780704992.28</v>
      </c>
      <c r="O88" s="112"/>
    </row>
    <row r="89" ht="18.75" spans="2:15">
      <c r="B89" s="86" t="s">
        <v>197</v>
      </c>
      <c r="N89" s="113"/>
      <c r="O89" s="113"/>
    </row>
    <row r="90" ht="18" customHeight="1"/>
    <row r="91" hidden="1"/>
    <row r="92" hidden="1"/>
    <row r="93" hidden="1"/>
    <row r="94" ht="2" hidden="1" customHeight="1"/>
    <row r="95" hidden="1"/>
    <row r="96" hidden="1"/>
    <row r="97" hidden="1"/>
    <row r="98" hidden="1"/>
    <row r="99" hidden="1"/>
    <row r="100" ht="38.25" customHeight="1"/>
    <row r="101" s="2" customFormat="1" spans="1:18">
      <c r="A101" s="3"/>
      <c r="K101" s="3"/>
      <c r="L101" s="3"/>
      <c r="M101" s="3"/>
      <c r="N101" s="4" t="s">
        <v>125</v>
      </c>
      <c r="O101" s="5"/>
      <c r="P101" s="6"/>
      <c r="Q101" s="115"/>
      <c r="R101" s="141"/>
    </row>
  </sheetData>
  <mergeCells count="89">
    <mergeCell ref="J2:L2"/>
    <mergeCell ref="B11:G11"/>
    <mergeCell ref="E13:M13"/>
    <mergeCell ref="F14:M14"/>
    <mergeCell ref="B17:P17"/>
    <mergeCell ref="B39:P39"/>
    <mergeCell ref="B64:P64"/>
    <mergeCell ref="A77:D77"/>
    <mergeCell ref="K79:M79"/>
    <mergeCell ref="N79:O79"/>
    <mergeCell ref="K80:M80"/>
    <mergeCell ref="N80:O80"/>
    <mergeCell ref="K81:M81"/>
    <mergeCell ref="N81:O81"/>
    <mergeCell ref="K82:L82"/>
    <mergeCell ref="N82:O82"/>
    <mergeCell ref="K83:L83"/>
    <mergeCell ref="N83:O83"/>
    <mergeCell ref="K84:L84"/>
    <mergeCell ref="N84:O84"/>
    <mergeCell ref="B85:H85"/>
    <mergeCell ref="K85:L85"/>
    <mergeCell ref="N85:O85"/>
    <mergeCell ref="K86:L86"/>
    <mergeCell ref="N86:O86"/>
    <mergeCell ref="K87:M87"/>
    <mergeCell ref="N87:O87"/>
    <mergeCell ref="N88:O88"/>
    <mergeCell ref="N89:O89"/>
    <mergeCell ref="A13:A15"/>
    <mergeCell ref="A18:A22"/>
    <mergeCell ref="A23:A30"/>
    <mergeCell ref="A31:A35"/>
    <mergeCell ref="A36:A38"/>
    <mergeCell ref="A40:A44"/>
    <mergeCell ref="A45:A47"/>
    <mergeCell ref="A48:A51"/>
    <mergeCell ref="A52:A54"/>
    <mergeCell ref="A55:A59"/>
    <mergeCell ref="A60:A63"/>
    <mergeCell ref="A65:A67"/>
    <mergeCell ref="A68:A71"/>
    <mergeCell ref="B13:B15"/>
    <mergeCell ref="B18:B22"/>
    <mergeCell ref="B23:B30"/>
    <mergeCell ref="B31:B35"/>
    <mergeCell ref="B36:B38"/>
    <mergeCell ref="B40:B44"/>
    <mergeCell ref="B45:B47"/>
    <mergeCell ref="B48:B51"/>
    <mergeCell ref="B52:B54"/>
    <mergeCell ref="B55:B59"/>
    <mergeCell ref="B60:B63"/>
    <mergeCell ref="B65:B67"/>
    <mergeCell ref="B68:B71"/>
    <mergeCell ref="B72:B76"/>
    <mergeCell ref="C13:C15"/>
    <mergeCell ref="C18:C22"/>
    <mergeCell ref="C23:C30"/>
    <mergeCell ref="C31:C35"/>
    <mergeCell ref="C36:C38"/>
    <mergeCell ref="C40:C44"/>
    <mergeCell ref="C45:C47"/>
    <mergeCell ref="C48:C51"/>
    <mergeCell ref="C52:C54"/>
    <mergeCell ref="C55:C59"/>
    <mergeCell ref="C60:C63"/>
    <mergeCell ref="C65:C67"/>
    <mergeCell ref="C68:C71"/>
    <mergeCell ref="D13:D15"/>
    <mergeCell ref="D18:D22"/>
    <mergeCell ref="D23:D30"/>
    <mergeCell ref="D31:D35"/>
    <mergeCell ref="D36:D38"/>
    <mergeCell ref="D40:D44"/>
    <mergeCell ref="D45:D47"/>
    <mergeCell ref="D48:D51"/>
    <mergeCell ref="D52:D54"/>
    <mergeCell ref="D55:D59"/>
    <mergeCell ref="D60:D63"/>
    <mergeCell ref="D65:D67"/>
    <mergeCell ref="D68:D71"/>
    <mergeCell ref="N13:N15"/>
    <mergeCell ref="O13:O15"/>
    <mergeCell ref="O45:O47"/>
    <mergeCell ref="O53:O54"/>
    <mergeCell ref="O56:O59"/>
    <mergeCell ref="P13:P15"/>
    <mergeCell ref="P85:P86"/>
  </mergeCells>
  <pageMargins left="0.393700787401575" right="0.393700787401575" top="0.393700787401575" bottom="0.393700787401575" header="0" footer="0"/>
  <pageSetup paperSize="9" scale="65" fitToHeight="0" orientation="landscape" blackAndWhite="1" horizontalDpi="600" verticalDpi="600"/>
  <headerFooter>
    <oddHeader>&amp;C&amp;A</oddHeader>
    <oddFooter>&amp;C&amp;D
&amp;T&amp;R&amp;F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01"/>
  <sheetViews>
    <sheetView topLeftCell="A15" workbookViewId="0">
      <selection activeCell="E31" sqref="E31"/>
    </sheetView>
  </sheetViews>
  <sheetFormatPr defaultColWidth="39" defaultRowHeight="15"/>
  <cols>
    <col min="1" max="1" width="7.85714285714286" style="3" customWidth="1"/>
    <col min="2" max="2" width="38.4285714285714" style="3" customWidth="1"/>
    <col min="3" max="3" width="7.57142857142857" style="3" customWidth="1"/>
    <col min="4" max="4" width="8.57142857142857" style="3" customWidth="1"/>
    <col min="5" max="5" width="18" style="2" customWidth="1"/>
    <col min="6" max="7" width="16.5714285714286" style="2" customWidth="1"/>
    <col min="8" max="10" width="18.1428571428571" style="2" customWidth="1"/>
    <col min="11" max="12" width="6.71428571428571" style="3" customWidth="1"/>
    <col min="13" max="13" width="9.14285714285714" style="3" customWidth="1"/>
    <col min="14" max="14" width="9.85714285714286" style="4" customWidth="1"/>
    <col min="15" max="15" width="11.1428571428571" style="5" customWidth="1"/>
    <col min="16" max="16" width="14.7142857142857" style="6" hidden="1" customWidth="1"/>
    <col min="17" max="17" width="39" style="7" hidden="1" customWidth="1"/>
    <col min="18" max="18" width="16.4190476190476" style="141" customWidth="1"/>
    <col min="19" max="16384" width="39" style="8"/>
  </cols>
  <sheetData>
    <row r="1" ht="18.75" hidden="1" spans="6:13">
      <c r="F1" s="9">
        <v>2023</v>
      </c>
      <c r="G1" s="9">
        <v>2024</v>
      </c>
      <c r="H1" s="9">
        <v>2025</v>
      </c>
      <c r="I1" s="9">
        <v>2026</v>
      </c>
      <c r="J1" s="9">
        <v>2027</v>
      </c>
      <c r="K1" s="46">
        <v>2028</v>
      </c>
      <c r="L1" s="46">
        <v>2029</v>
      </c>
      <c r="M1" s="46">
        <v>2030</v>
      </c>
    </row>
    <row r="2" ht="18.75" spans="10:14">
      <c r="J2" s="47" t="s">
        <v>208</v>
      </c>
      <c r="K2" s="48"/>
      <c r="L2" s="48"/>
      <c r="M2" s="49"/>
      <c r="N2" s="5"/>
    </row>
    <row r="3" ht="18.75" spans="10:14">
      <c r="J3" s="50" t="s">
        <v>171</v>
      </c>
      <c r="K3" s="8"/>
      <c r="L3" s="8"/>
      <c r="M3" s="49"/>
      <c r="N3" s="5"/>
    </row>
    <row r="4" ht="18.75" spans="10:14">
      <c r="J4" s="50" t="s">
        <v>172</v>
      </c>
      <c r="K4" s="8"/>
      <c r="L4" s="8"/>
      <c r="M4" s="49"/>
      <c r="N4" s="5"/>
    </row>
    <row r="5" ht="18.75" spans="10:14">
      <c r="J5" s="50" t="s">
        <v>173</v>
      </c>
      <c r="K5" s="8"/>
      <c r="L5" s="8"/>
      <c r="M5" s="49"/>
      <c r="N5" s="5"/>
    </row>
    <row r="6" spans="11:14">
      <c r="K6" s="8"/>
      <c r="L6" s="8"/>
      <c r="M6" s="8"/>
      <c r="N6" s="49"/>
    </row>
    <row r="7" ht="18.75" spans="10:14">
      <c r="J7" s="50" t="s">
        <v>174</v>
      </c>
      <c r="K7" s="8"/>
      <c r="M7" s="8"/>
      <c r="N7" s="49"/>
    </row>
    <row r="8" ht="18.75" spans="10:14">
      <c r="J8" s="51" t="s">
        <v>175</v>
      </c>
      <c r="K8" s="8"/>
      <c r="M8" s="8"/>
      <c r="N8" s="49"/>
    </row>
    <row r="9" ht="18.75" spans="10:14">
      <c r="J9" s="51" t="s">
        <v>176</v>
      </c>
      <c r="K9" s="8"/>
      <c r="M9" s="8"/>
      <c r="N9" s="49"/>
    </row>
    <row r="10" ht="18.75" spans="10:17">
      <c r="J10" s="51" t="s">
        <v>177</v>
      </c>
      <c r="K10" s="52"/>
      <c r="M10" s="52"/>
      <c r="N10" s="53"/>
      <c r="O10" s="54"/>
      <c r="P10" s="55"/>
      <c r="Q10" s="77"/>
    </row>
    <row r="11" ht="18.75" spans="2:17">
      <c r="B11" s="10" t="s">
        <v>178</v>
      </c>
      <c r="C11" s="10"/>
      <c r="D11" s="10"/>
      <c r="E11" s="11"/>
      <c r="F11" s="11"/>
      <c r="G11" s="11"/>
      <c r="H11" s="11"/>
      <c r="K11" s="56"/>
      <c r="L11" s="52"/>
      <c r="M11" s="52"/>
      <c r="N11" s="53"/>
      <c r="O11" s="54"/>
      <c r="P11" s="55"/>
      <c r="Q11" s="77"/>
    </row>
    <row r="12" ht="18.75" spans="11:17">
      <c r="K12" s="56"/>
      <c r="L12" s="52"/>
      <c r="M12" s="52"/>
      <c r="N12" s="53"/>
      <c r="O12" s="54"/>
      <c r="P12" s="55"/>
      <c r="Q12" s="77"/>
    </row>
    <row r="13" spans="1:16">
      <c r="A13" s="12" t="s">
        <v>134</v>
      </c>
      <c r="B13" s="13" t="s">
        <v>179</v>
      </c>
      <c r="C13" s="14" t="s">
        <v>180</v>
      </c>
      <c r="D13" s="14" t="s">
        <v>181</v>
      </c>
      <c r="E13" s="15" t="s">
        <v>138</v>
      </c>
      <c r="F13" s="15"/>
      <c r="G13" s="15"/>
      <c r="H13" s="15"/>
      <c r="I13" s="15"/>
      <c r="J13" s="15"/>
      <c r="K13" s="57"/>
      <c r="L13" s="57"/>
      <c r="M13" s="57"/>
      <c r="N13" s="58" t="s">
        <v>139</v>
      </c>
      <c r="O13" s="58" t="s">
        <v>140</v>
      </c>
      <c r="P13" s="59" t="s">
        <v>199</v>
      </c>
    </row>
    <row r="14" spans="1:16">
      <c r="A14" s="12"/>
      <c r="B14" s="13"/>
      <c r="C14" s="14"/>
      <c r="D14" s="14"/>
      <c r="E14" s="15"/>
      <c r="F14" s="16" t="s">
        <v>183</v>
      </c>
      <c r="G14" s="15"/>
      <c r="H14" s="15"/>
      <c r="I14" s="15"/>
      <c r="J14" s="15"/>
      <c r="K14" s="57"/>
      <c r="L14" s="57"/>
      <c r="M14" s="57"/>
      <c r="N14" s="58"/>
      <c r="O14" s="58"/>
      <c r="P14" s="60"/>
    </row>
    <row r="15" ht="58.5" customHeight="1" spans="1:16">
      <c r="A15" s="12"/>
      <c r="B15" s="13"/>
      <c r="C15" s="14"/>
      <c r="D15" s="14"/>
      <c r="E15" s="17" t="s">
        <v>141</v>
      </c>
      <c r="F15" s="18">
        <v>2023</v>
      </c>
      <c r="G15" s="18">
        <v>2024</v>
      </c>
      <c r="H15" s="18">
        <v>2025</v>
      </c>
      <c r="I15" s="46">
        <v>2026</v>
      </c>
      <c r="J15" s="46">
        <v>2027</v>
      </c>
      <c r="K15" s="46">
        <v>2028</v>
      </c>
      <c r="L15" s="46">
        <v>2029</v>
      </c>
      <c r="M15" s="46">
        <v>2030</v>
      </c>
      <c r="N15" s="58"/>
      <c r="O15" s="58"/>
      <c r="P15" s="61"/>
    </row>
    <row r="16" spans="1:16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58">
        <v>14</v>
      </c>
      <c r="O16" s="58">
        <v>15</v>
      </c>
      <c r="P16" s="62"/>
    </row>
    <row r="17" s="1" customFormat="1" ht="18.75" spans="1:18">
      <c r="A17" s="20" t="s">
        <v>6</v>
      </c>
      <c r="B17" s="21" t="s">
        <v>7</v>
      </c>
      <c r="C17" s="21"/>
      <c r="D17" s="21"/>
      <c r="E17" s="22"/>
      <c r="F17" s="22"/>
      <c r="G17" s="22"/>
      <c r="H17" s="22"/>
      <c r="I17" s="22"/>
      <c r="J17" s="22"/>
      <c r="K17" s="21"/>
      <c r="L17" s="21"/>
      <c r="M17" s="21"/>
      <c r="N17" s="21"/>
      <c r="O17" s="21"/>
      <c r="P17" s="63"/>
      <c r="Q17" s="78"/>
      <c r="R17" s="153"/>
    </row>
    <row r="18" s="1" customFormat="1" ht="15.75" customHeight="1" spans="1:18">
      <c r="A18" s="23" t="s">
        <v>8</v>
      </c>
      <c r="B18" s="24" t="s">
        <v>143</v>
      </c>
      <c r="C18" s="14" t="s">
        <v>144</v>
      </c>
      <c r="D18" s="14" t="s">
        <v>144</v>
      </c>
      <c r="E18" s="142">
        <f t="shared" ref="E18:E38" si="0">F18+G18+H18+I18+J18</f>
        <v>555401045.2</v>
      </c>
      <c r="F18" s="118">
        <f t="shared" ref="F18:M18" si="1">SUM(F19:F22)</f>
        <v>164564076.58</v>
      </c>
      <c r="G18" s="118">
        <f t="shared" si="1"/>
        <v>140943112.29</v>
      </c>
      <c r="H18" s="143">
        <f t="shared" si="1"/>
        <v>128579297.08</v>
      </c>
      <c r="I18" s="26">
        <f t="shared" si="1"/>
        <v>61196343.07</v>
      </c>
      <c r="J18" s="26">
        <f t="shared" si="1"/>
        <v>60118216.18</v>
      </c>
      <c r="K18" s="26">
        <f t="shared" si="1"/>
        <v>0</v>
      </c>
      <c r="L18" s="26">
        <f t="shared" si="1"/>
        <v>0</v>
      </c>
      <c r="M18" s="26">
        <f t="shared" si="1"/>
        <v>0</v>
      </c>
      <c r="N18" s="64" t="s">
        <v>144</v>
      </c>
      <c r="O18" s="65" t="s">
        <v>144</v>
      </c>
      <c r="P18" s="66">
        <f>SUM(P19:P22)</f>
        <v>0</v>
      </c>
      <c r="Q18" s="78"/>
      <c r="R18" s="139">
        <f>SUM(R19:R22)</f>
        <v>18013.59</v>
      </c>
    </row>
    <row r="19" s="1" customFormat="1" ht="15.75" spans="1:18">
      <c r="A19" s="23"/>
      <c r="B19" s="24"/>
      <c r="C19" s="14"/>
      <c r="D19" s="14"/>
      <c r="E19" s="116">
        <f t="shared" si="0"/>
        <v>287638800.68</v>
      </c>
      <c r="F19" s="118">
        <f t="shared" ref="F19:M19" si="2">F24+F25+F32+F33</f>
        <v>141479117.43</v>
      </c>
      <c r="G19" s="118">
        <f t="shared" si="2"/>
        <v>36601639.06</v>
      </c>
      <c r="H19" s="118">
        <f t="shared" si="2"/>
        <v>36560478.15</v>
      </c>
      <c r="I19" s="26">
        <f t="shared" si="2"/>
        <v>37268682.78</v>
      </c>
      <c r="J19" s="26">
        <f t="shared" si="2"/>
        <v>35728883.26</v>
      </c>
      <c r="K19" s="26">
        <f t="shared" si="2"/>
        <v>0</v>
      </c>
      <c r="L19" s="26">
        <f t="shared" si="2"/>
        <v>0</v>
      </c>
      <c r="M19" s="26">
        <f t="shared" si="2"/>
        <v>0</v>
      </c>
      <c r="N19" s="64" t="s">
        <v>78</v>
      </c>
      <c r="O19" s="65"/>
      <c r="P19" s="66">
        <f>P24+P25+P32+P33</f>
        <v>0</v>
      </c>
      <c r="Q19" s="78"/>
      <c r="R19" s="139">
        <f>R24+R25+R32+R33</f>
        <v>0</v>
      </c>
    </row>
    <row r="20" s="1" customFormat="1" ht="15.75" spans="1:18">
      <c r="A20" s="23"/>
      <c r="B20" s="24"/>
      <c r="C20" s="14"/>
      <c r="D20" s="14"/>
      <c r="E20" s="116">
        <f t="shared" si="0"/>
        <v>3636635.95</v>
      </c>
      <c r="F20" s="118">
        <f t="shared" ref="F20:M20" si="3">F26+F27</f>
        <v>724063.62</v>
      </c>
      <c r="G20" s="118">
        <f t="shared" si="3"/>
        <v>746972.23</v>
      </c>
      <c r="H20" s="118">
        <f t="shared" si="3"/>
        <v>722679.7</v>
      </c>
      <c r="I20" s="26">
        <f t="shared" si="3"/>
        <v>736678.57</v>
      </c>
      <c r="J20" s="26">
        <f t="shared" si="3"/>
        <v>706241.83</v>
      </c>
      <c r="K20" s="26">
        <f t="shared" si="3"/>
        <v>0</v>
      </c>
      <c r="L20" s="26">
        <f t="shared" si="3"/>
        <v>0</v>
      </c>
      <c r="M20" s="26">
        <f t="shared" si="3"/>
        <v>0</v>
      </c>
      <c r="N20" s="64" t="s">
        <v>71</v>
      </c>
      <c r="O20" s="65"/>
      <c r="P20" s="66">
        <f>P26+P27</f>
        <v>0</v>
      </c>
      <c r="Q20" s="78"/>
      <c r="R20" s="139">
        <f>R26+R27</f>
        <v>0</v>
      </c>
    </row>
    <row r="21" s="1" customFormat="1" ht="15.75" spans="1:18">
      <c r="A21" s="23"/>
      <c r="B21" s="24"/>
      <c r="C21" s="14"/>
      <c r="D21" s="14"/>
      <c r="E21" s="116">
        <f t="shared" si="0"/>
        <v>931032.37</v>
      </c>
      <c r="F21" s="118">
        <f t="shared" ref="F21:M21" si="4">F28+F29</f>
        <v>181925.53</v>
      </c>
      <c r="G21" s="118">
        <f t="shared" si="4"/>
        <v>187681.47</v>
      </c>
      <c r="H21" s="118">
        <f t="shared" si="4"/>
        <v>187352.56</v>
      </c>
      <c r="I21" s="26">
        <f t="shared" si="4"/>
        <v>190981.72</v>
      </c>
      <c r="J21" s="26">
        <f t="shared" si="4"/>
        <v>183091.09</v>
      </c>
      <c r="K21" s="26">
        <f t="shared" si="4"/>
        <v>0</v>
      </c>
      <c r="L21" s="26">
        <f t="shared" si="4"/>
        <v>0</v>
      </c>
      <c r="M21" s="26">
        <f t="shared" si="4"/>
        <v>0</v>
      </c>
      <c r="N21" s="64" t="s">
        <v>16</v>
      </c>
      <c r="O21" s="65"/>
      <c r="P21" s="66">
        <f>P28+P29</f>
        <v>0</v>
      </c>
      <c r="Q21" s="78"/>
      <c r="R21" s="139">
        <f>R28+R29</f>
        <v>0</v>
      </c>
    </row>
    <row r="22" s="1" customFormat="1" ht="15.75" spans="1:18">
      <c r="A22" s="23"/>
      <c r="B22" s="24"/>
      <c r="C22" s="14"/>
      <c r="D22" s="14"/>
      <c r="E22" s="142">
        <f t="shared" si="0"/>
        <v>263194576.2</v>
      </c>
      <c r="F22" s="118">
        <f>F34+F35+F37+F38+F30</f>
        <v>22178970</v>
      </c>
      <c r="G22" s="118">
        <f>G34+G35+G37+G38+G30</f>
        <v>103406819.53</v>
      </c>
      <c r="H22" s="143">
        <f>H34+H35+H37+H38+H30</f>
        <v>91108786.67</v>
      </c>
      <c r="I22" s="26">
        <f>I34+I35+I37+I38+I30</f>
        <v>23000000</v>
      </c>
      <c r="J22" s="26">
        <f>J34+J35+J37+J38+J30</f>
        <v>23500000</v>
      </c>
      <c r="K22" s="26">
        <f>K34+K35+K37</f>
        <v>0</v>
      </c>
      <c r="L22" s="26">
        <f>L34+L35+L37</f>
        <v>0</v>
      </c>
      <c r="M22" s="26">
        <f>M34+M35+M37</f>
        <v>0</v>
      </c>
      <c r="N22" s="64" t="s">
        <v>73</v>
      </c>
      <c r="O22" s="65"/>
      <c r="P22" s="66"/>
      <c r="Q22" s="78"/>
      <c r="R22" s="139">
        <f>R34+R35+R37+R38+R30</f>
        <v>18013.59</v>
      </c>
    </row>
    <row r="23" s="1" customFormat="1" ht="15.75" spans="1:18">
      <c r="A23" s="23" t="s">
        <v>11</v>
      </c>
      <c r="B23" s="27" t="s">
        <v>209</v>
      </c>
      <c r="C23" s="24" t="s">
        <v>145</v>
      </c>
      <c r="D23" s="24" t="s">
        <v>123</v>
      </c>
      <c r="E23" s="142">
        <f t="shared" si="0"/>
        <v>255934550.26</v>
      </c>
      <c r="F23" s="118">
        <f>F24+F25+F26+F27+F28+F30</f>
        <v>36385106.58</v>
      </c>
      <c r="G23" s="118">
        <f>G24+G25+G26+G27+G28+G30+G29</f>
        <v>57319903.61</v>
      </c>
      <c r="H23" s="143">
        <f>SUM(H24:H30)</f>
        <v>87414980.82</v>
      </c>
      <c r="I23" s="26">
        <f>I24+I25+I26+I27+I28+I30+I29</f>
        <v>38196343.07</v>
      </c>
      <c r="J23" s="26">
        <f>J24+J25+J26+J27+J28+J30+J29</f>
        <v>36618216.18</v>
      </c>
      <c r="K23" s="26">
        <f>K24+K25+K26+K27+K28+K30+K29</f>
        <v>0</v>
      </c>
      <c r="L23" s="26">
        <f>L24+L25+L26+L27+L28+L30+L29</f>
        <v>0</v>
      </c>
      <c r="M23" s="26">
        <f>M24+M25+M26+M27+M28+M30+M29</f>
        <v>0</v>
      </c>
      <c r="N23" s="64" t="s">
        <v>144</v>
      </c>
      <c r="O23" s="65" t="s">
        <v>144</v>
      </c>
      <c r="P23" s="66"/>
      <c r="Q23" s="154"/>
      <c r="R23" s="155">
        <f>SUM(R24:R30)</f>
        <v>-1021682.79</v>
      </c>
    </row>
    <row r="24" s="1" customFormat="1" ht="15.75" spans="1:18">
      <c r="A24" s="23"/>
      <c r="B24" s="27"/>
      <c r="C24" s="24"/>
      <c r="D24" s="24"/>
      <c r="E24" s="116">
        <f t="shared" si="0"/>
        <v>181638800.68</v>
      </c>
      <c r="F24" s="120">
        <v>35479117.43</v>
      </c>
      <c r="G24" s="144">
        <v>36601639.06</v>
      </c>
      <c r="H24" s="120">
        <v>36560478.15</v>
      </c>
      <c r="I24" s="28">
        <v>37268682.78</v>
      </c>
      <c r="J24" s="28">
        <v>35728883.26</v>
      </c>
      <c r="K24" s="67">
        <v>0</v>
      </c>
      <c r="L24" s="67">
        <v>0</v>
      </c>
      <c r="M24" s="67">
        <v>0</v>
      </c>
      <c r="N24" s="64" t="s">
        <v>78</v>
      </c>
      <c r="O24" s="65" t="s">
        <v>105</v>
      </c>
      <c r="P24" s="68"/>
      <c r="Q24" s="78"/>
      <c r="R24" s="156"/>
    </row>
    <row r="25" s="1" customFormat="1" ht="15.75" spans="1:18">
      <c r="A25" s="23"/>
      <c r="B25" s="27"/>
      <c r="C25" s="24"/>
      <c r="D25" s="24"/>
      <c r="E25" s="116">
        <f t="shared" si="0"/>
        <v>0</v>
      </c>
      <c r="F25" s="120">
        <v>0</v>
      </c>
      <c r="G25" s="120">
        <v>0</v>
      </c>
      <c r="H25" s="120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64" t="s">
        <v>78</v>
      </c>
      <c r="O25" s="65" t="s">
        <v>146</v>
      </c>
      <c r="P25" s="68"/>
      <c r="Q25" s="78"/>
      <c r="R25" s="157"/>
    </row>
    <row r="26" s="1" customFormat="1" ht="15.75" spans="1:18">
      <c r="A26" s="23"/>
      <c r="B26" s="27"/>
      <c r="C26" s="24"/>
      <c r="D26" s="24"/>
      <c r="E26" s="116">
        <f t="shared" si="0"/>
        <v>3636635.95</v>
      </c>
      <c r="F26" s="120">
        <v>724063.62</v>
      </c>
      <c r="G26" s="144">
        <v>746972.23</v>
      </c>
      <c r="H26" s="120">
        <v>722679.7</v>
      </c>
      <c r="I26" s="28">
        <v>736678.57</v>
      </c>
      <c r="J26" s="28">
        <v>706241.83</v>
      </c>
      <c r="K26" s="28">
        <v>0</v>
      </c>
      <c r="L26" s="28">
        <v>0</v>
      </c>
      <c r="M26" s="28">
        <v>0</v>
      </c>
      <c r="N26" s="64" t="s">
        <v>71</v>
      </c>
      <c r="O26" s="65" t="s">
        <v>105</v>
      </c>
      <c r="P26" s="68"/>
      <c r="Q26" s="78"/>
      <c r="R26" s="157"/>
    </row>
    <row r="27" s="1" customFormat="1" ht="15.75" spans="1:18">
      <c r="A27" s="23"/>
      <c r="B27" s="27"/>
      <c r="C27" s="24"/>
      <c r="D27" s="24"/>
      <c r="E27" s="116">
        <f t="shared" si="0"/>
        <v>0</v>
      </c>
      <c r="F27" s="120">
        <v>0</v>
      </c>
      <c r="G27" s="120">
        <v>0</v>
      </c>
      <c r="H27" s="120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64" t="s">
        <v>71</v>
      </c>
      <c r="O27" s="65" t="s">
        <v>146</v>
      </c>
      <c r="P27" s="68"/>
      <c r="Q27" s="78"/>
      <c r="R27" s="157"/>
    </row>
    <row r="28" s="1" customFormat="1" ht="15.75" spans="1:18">
      <c r="A28" s="23"/>
      <c r="B28" s="27"/>
      <c r="C28" s="24"/>
      <c r="D28" s="24"/>
      <c r="E28" s="116">
        <f t="shared" si="0"/>
        <v>931032.37</v>
      </c>
      <c r="F28" s="120">
        <v>181925.53</v>
      </c>
      <c r="G28" s="144">
        <v>187681.47</v>
      </c>
      <c r="H28" s="120">
        <v>187352.56</v>
      </c>
      <c r="I28" s="28">
        <v>190981.72</v>
      </c>
      <c r="J28" s="28">
        <v>183091.09</v>
      </c>
      <c r="K28" s="28">
        <v>0</v>
      </c>
      <c r="L28" s="28">
        <v>0</v>
      </c>
      <c r="M28" s="28">
        <v>0</v>
      </c>
      <c r="N28" s="64" t="s">
        <v>16</v>
      </c>
      <c r="O28" s="65" t="s">
        <v>105</v>
      </c>
      <c r="P28" s="68"/>
      <c r="Q28" s="78"/>
      <c r="R28" s="157"/>
    </row>
    <row r="29" s="1" customFormat="1" ht="15.75" spans="1:18">
      <c r="A29" s="23"/>
      <c r="B29" s="27"/>
      <c r="C29" s="24"/>
      <c r="D29" s="24"/>
      <c r="E29" s="116">
        <f t="shared" si="0"/>
        <v>0</v>
      </c>
      <c r="F29" s="120">
        <v>0</v>
      </c>
      <c r="G29" s="120">
        <v>0</v>
      </c>
      <c r="H29" s="120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64" t="s">
        <v>147</v>
      </c>
      <c r="O29" s="65" t="s">
        <v>146</v>
      </c>
      <c r="P29" s="68"/>
      <c r="Q29" s="78"/>
      <c r="R29" s="157"/>
    </row>
    <row r="30" s="1" customFormat="1" ht="15.75" spans="1:19">
      <c r="A30" s="23"/>
      <c r="B30" s="27"/>
      <c r="C30" s="24"/>
      <c r="D30" s="24"/>
      <c r="E30" s="145">
        <f t="shared" si="0"/>
        <v>69728081.26</v>
      </c>
      <c r="F30" s="120">
        <v>0</v>
      </c>
      <c r="G30" s="144">
        <f>20893314.78+P30</f>
        <v>19783610.85</v>
      </c>
      <c r="H30" s="146">
        <f>50966153.2+R30</f>
        <v>49944470.41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89" t="s">
        <v>73</v>
      </c>
      <c r="O30" s="151" t="s">
        <v>105</v>
      </c>
      <c r="P30" s="68">
        <f>-572032.86+-537671.07</f>
        <v>-1109703.93</v>
      </c>
      <c r="Q30" s="78"/>
      <c r="R30" s="157">
        <f>-1021682.79</f>
        <v>-1021682.79</v>
      </c>
      <c r="S30" s="1" t="s">
        <v>210</v>
      </c>
    </row>
    <row r="31" s="1" customFormat="1" ht="15.75" customHeight="1" spans="1:18">
      <c r="A31" s="23" t="s">
        <v>91</v>
      </c>
      <c r="B31" s="27" t="s">
        <v>148</v>
      </c>
      <c r="C31" s="24" t="s">
        <v>149</v>
      </c>
      <c r="D31" s="24" t="s">
        <v>150</v>
      </c>
      <c r="E31" s="25">
        <f t="shared" si="0"/>
        <v>211802178.68</v>
      </c>
      <c r="F31" s="120">
        <f t="shared" ref="F31:M31" si="5">F32+F33+F34+F35</f>
        <v>128178970</v>
      </c>
      <c r="G31" s="120">
        <f t="shared" si="5"/>
        <v>83623208.68</v>
      </c>
      <c r="H31" s="28">
        <f t="shared" si="5"/>
        <v>0</v>
      </c>
      <c r="I31" s="28">
        <f t="shared" si="5"/>
        <v>0</v>
      </c>
      <c r="J31" s="28">
        <f t="shared" si="5"/>
        <v>0</v>
      </c>
      <c r="K31" s="28">
        <f t="shared" si="5"/>
        <v>0</v>
      </c>
      <c r="L31" s="28">
        <f t="shared" si="5"/>
        <v>0</v>
      </c>
      <c r="M31" s="28">
        <f t="shared" si="5"/>
        <v>0</v>
      </c>
      <c r="N31" s="64" t="s">
        <v>144</v>
      </c>
      <c r="O31" s="65" t="s">
        <v>144</v>
      </c>
      <c r="P31" s="69">
        <f>P32+P33+P34+P35</f>
        <v>0</v>
      </c>
      <c r="Q31" s="78"/>
      <c r="R31" s="157"/>
    </row>
    <row r="32" s="1" customFormat="1" ht="15.75" spans="1:18">
      <c r="A32" s="23"/>
      <c r="B32" s="27"/>
      <c r="C32" s="24"/>
      <c r="D32" s="24"/>
      <c r="E32" s="25">
        <f t="shared" si="0"/>
        <v>63133615.4</v>
      </c>
      <c r="F32" s="120">
        <f>106000000-37799322.82-5067061.78</f>
        <v>63133615.4</v>
      </c>
      <c r="G32" s="120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64" t="s">
        <v>78</v>
      </c>
      <c r="O32" s="65" t="s">
        <v>151</v>
      </c>
      <c r="P32" s="68"/>
      <c r="Q32" s="78"/>
      <c r="R32" s="157"/>
    </row>
    <row r="33" s="1" customFormat="1" ht="18.75" customHeight="1" spans="1:18">
      <c r="A33" s="23"/>
      <c r="B33" s="27"/>
      <c r="C33" s="24"/>
      <c r="D33" s="24"/>
      <c r="E33" s="25">
        <f t="shared" si="0"/>
        <v>42866384.6</v>
      </c>
      <c r="F33" s="120">
        <f>37799322.82+5067061.78</f>
        <v>42866384.6</v>
      </c>
      <c r="G33" s="120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64" t="s">
        <v>78</v>
      </c>
      <c r="O33" s="65" t="s">
        <v>152</v>
      </c>
      <c r="P33" s="68"/>
      <c r="Q33" s="78"/>
      <c r="R33" s="157"/>
    </row>
    <row r="34" s="1" customFormat="1" ht="19.5" customHeight="1" spans="1:18">
      <c r="A34" s="23"/>
      <c r="B34" s="27"/>
      <c r="C34" s="24"/>
      <c r="D34" s="24"/>
      <c r="E34" s="25">
        <f t="shared" si="0"/>
        <v>66379321.57</v>
      </c>
      <c r="F34" s="120">
        <f>(22776970-598000)-1422857.11</f>
        <v>20756112.89</v>
      </c>
      <c r="G34" s="120">
        <f>33623208.68+12000000</f>
        <v>45623208.68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64" t="s">
        <v>73</v>
      </c>
      <c r="O34" s="65" t="s">
        <v>151</v>
      </c>
      <c r="P34" s="68"/>
      <c r="Q34" s="78"/>
      <c r="R34" s="157"/>
    </row>
    <row r="35" s="1" customFormat="1" ht="16.5" customHeight="1" spans="1:18">
      <c r="A35" s="23"/>
      <c r="B35" s="27"/>
      <c r="C35" s="24"/>
      <c r="D35" s="24"/>
      <c r="E35" s="25">
        <f t="shared" si="0"/>
        <v>39422857.11</v>
      </c>
      <c r="F35" s="120">
        <v>1422857.11</v>
      </c>
      <c r="G35" s="120">
        <v>38000000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64" t="s">
        <v>73</v>
      </c>
      <c r="O35" s="65" t="s">
        <v>152</v>
      </c>
      <c r="P35" s="68"/>
      <c r="Q35" s="78"/>
      <c r="R35" s="158"/>
    </row>
    <row r="36" s="1" customFormat="1" ht="15.75" customHeight="1" spans="1:18">
      <c r="A36" s="30" t="s">
        <v>201</v>
      </c>
      <c r="B36" s="147" t="s">
        <v>202</v>
      </c>
      <c r="C36" s="32" t="s">
        <v>149</v>
      </c>
      <c r="D36" s="32" t="s">
        <v>203</v>
      </c>
      <c r="E36" s="142">
        <f t="shared" si="0"/>
        <v>87664316.26</v>
      </c>
      <c r="F36" s="118">
        <f t="shared" ref="F36:M36" si="6">F37+F38</f>
        <v>0</v>
      </c>
      <c r="G36" s="118">
        <f t="shared" si="6"/>
        <v>0</v>
      </c>
      <c r="H36" s="143">
        <f t="shared" si="6"/>
        <v>41164316.26</v>
      </c>
      <c r="I36" s="26">
        <f t="shared" si="6"/>
        <v>23000000</v>
      </c>
      <c r="J36" s="26">
        <f t="shared" si="6"/>
        <v>23500000</v>
      </c>
      <c r="K36" s="26">
        <f t="shared" si="6"/>
        <v>0</v>
      </c>
      <c r="L36" s="26">
        <f t="shared" si="6"/>
        <v>0</v>
      </c>
      <c r="M36" s="26">
        <f t="shared" si="6"/>
        <v>0</v>
      </c>
      <c r="N36" s="64" t="s">
        <v>144</v>
      </c>
      <c r="O36" s="65" t="s">
        <v>144</v>
      </c>
      <c r="P36" s="66" t="e">
        <f>#REF!+#REF!+P37+#REF!</f>
        <v>#REF!</v>
      </c>
      <c r="Q36" s="154"/>
      <c r="R36" s="26">
        <f>R37+R38</f>
        <v>1039696.38</v>
      </c>
    </row>
    <row r="37" s="1" customFormat="1" ht="19.5" customHeight="1" spans="1:18">
      <c r="A37" s="33"/>
      <c r="B37" s="148"/>
      <c r="C37" s="35"/>
      <c r="D37" s="35"/>
      <c r="E37" s="142">
        <f t="shared" si="0"/>
        <v>87664316.26</v>
      </c>
      <c r="F37" s="120">
        <v>0</v>
      </c>
      <c r="G37" s="120">
        <v>0</v>
      </c>
      <c r="H37" s="146">
        <f>7343359.2+4656640.8+28124619.88+R37</f>
        <v>41164316.26</v>
      </c>
      <c r="I37" s="28">
        <v>23000000</v>
      </c>
      <c r="J37" s="28">
        <v>23500000</v>
      </c>
      <c r="K37" s="28">
        <v>0</v>
      </c>
      <c r="L37" s="28">
        <v>0</v>
      </c>
      <c r="M37" s="28">
        <v>0</v>
      </c>
      <c r="N37" s="64" t="s">
        <v>73</v>
      </c>
      <c r="O37" s="65" t="s">
        <v>151</v>
      </c>
      <c r="P37" s="68"/>
      <c r="Q37" s="78"/>
      <c r="R37" s="156">
        <f>1021682.79+18013.59</f>
        <v>1039696.38</v>
      </c>
    </row>
    <row r="38" s="1" customFormat="1" ht="19.5" customHeight="1" spans="1:18">
      <c r="A38" s="36"/>
      <c r="B38" s="149"/>
      <c r="C38" s="38"/>
      <c r="D38" s="38"/>
      <c r="E38" s="25">
        <f t="shared" si="0"/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64" t="s">
        <v>73</v>
      </c>
      <c r="O38" s="65" t="s">
        <v>152</v>
      </c>
      <c r="P38" s="68"/>
      <c r="Q38" s="78"/>
      <c r="R38" s="157"/>
    </row>
    <row r="39" ht="18.75" spans="1:16">
      <c r="A39" s="39" t="s">
        <v>36</v>
      </c>
      <c r="B39" s="39" t="s">
        <v>37</v>
      </c>
      <c r="C39" s="39"/>
      <c r="D39" s="39"/>
      <c r="E39" s="40"/>
      <c r="F39" s="40"/>
      <c r="G39" s="40"/>
      <c r="H39" s="40"/>
      <c r="I39" s="40"/>
      <c r="J39" s="40"/>
      <c r="K39" s="39"/>
      <c r="L39" s="39"/>
      <c r="M39" s="39"/>
      <c r="N39" s="39"/>
      <c r="O39" s="39"/>
      <c r="P39" s="70"/>
    </row>
    <row r="40" spans="1:18">
      <c r="A40" s="41" t="s">
        <v>38</v>
      </c>
      <c r="B40" s="24" t="s">
        <v>153</v>
      </c>
      <c r="C40" s="14" t="s">
        <v>144</v>
      </c>
      <c r="D40" s="14" t="s">
        <v>144</v>
      </c>
      <c r="E40" s="142">
        <f t="shared" ref="E40:E63" si="7">F40+G40+H40+I40+J40+K40+L40+M40</f>
        <v>477343295.02</v>
      </c>
      <c r="F40" s="116">
        <f t="shared" ref="F40:M40" si="8">F41+F42+F43+F44</f>
        <v>138310399.39</v>
      </c>
      <c r="G40" s="116">
        <f t="shared" si="8"/>
        <v>141966454.14</v>
      </c>
      <c r="H40" s="142">
        <f t="shared" si="8"/>
        <v>33725287.96</v>
      </c>
      <c r="I40" s="25">
        <f t="shared" si="8"/>
        <v>80819841.59</v>
      </c>
      <c r="J40" s="25">
        <f t="shared" si="8"/>
        <v>82521311.94</v>
      </c>
      <c r="K40" s="25">
        <f t="shared" si="8"/>
        <v>0</v>
      </c>
      <c r="L40" s="25">
        <f t="shared" si="8"/>
        <v>0</v>
      </c>
      <c r="M40" s="25">
        <f t="shared" si="8"/>
        <v>0</v>
      </c>
      <c r="N40" s="64" t="s">
        <v>144</v>
      </c>
      <c r="O40" s="65" t="s">
        <v>144</v>
      </c>
      <c r="P40" s="71">
        <f>P41+P42+P43+P44</f>
        <v>1118935.41</v>
      </c>
      <c r="R40" s="140">
        <f>R41+R42+R43+R44</f>
        <v>15239307.9</v>
      </c>
    </row>
    <row r="41" spans="1:18">
      <c r="A41" s="41"/>
      <c r="B41" s="24"/>
      <c r="C41" s="14"/>
      <c r="D41" s="14"/>
      <c r="E41" s="142">
        <f t="shared" si="7"/>
        <v>120317066.62</v>
      </c>
      <c r="F41" s="116">
        <f>F53+F56</f>
        <v>84818282.07</v>
      </c>
      <c r="G41" s="116">
        <f>G53+G56</f>
        <v>20564262.8</v>
      </c>
      <c r="H41" s="142">
        <f>H53+H56</f>
        <v>14934521.75</v>
      </c>
      <c r="I41" s="25">
        <f>I53+I56</f>
        <v>0</v>
      </c>
      <c r="J41" s="25">
        <f>J53</f>
        <v>0</v>
      </c>
      <c r="K41" s="25">
        <f>K53</f>
        <v>0</v>
      </c>
      <c r="L41" s="25">
        <f>L53</f>
        <v>0</v>
      </c>
      <c r="M41" s="25">
        <f>M53</f>
        <v>0</v>
      </c>
      <c r="N41" s="25" t="s">
        <v>14</v>
      </c>
      <c r="O41" s="72"/>
      <c r="P41" s="71">
        <f>P53+P56</f>
        <v>0</v>
      </c>
      <c r="R41" s="140">
        <f>R53+R56</f>
        <v>14934521.75</v>
      </c>
    </row>
    <row r="42" spans="1:18">
      <c r="A42" s="41"/>
      <c r="B42" s="24"/>
      <c r="C42" s="14"/>
      <c r="D42" s="14"/>
      <c r="E42" s="142">
        <f t="shared" si="7"/>
        <v>268195419.39</v>
      </c>
      <c r="F42" s="116">
        <f>F46+F57</f>
        <v>32086740.83</v>
      </c>
      <c r="G42" s="116">
        <f>G46+G57</f>
        <v>78013399.73</v>
      </c>
      <c r="H42" s="142">
        <f>H46+H57</f>
        <v>1304786.15</v>
      </c>
      <c r="I42" s="25">
        <f>I46+I57</f>
        <v>78395246.34</v>
      </c>
      <c r="J42" s="25">
        <f>J46</f>
        <v>78395246.34</v>
      </c>
      <c r="K42" s="25">
        <f>K46</f>
        <v>0</v>
      </c>
      <c r="L42" s="25">
        <f>L46</f>
        <v>0</v>
      </c>
      <c r="M42" s="25">
        <f>M46</f>
        <v>0</v>
      </c>
      <c r="N42" s="64" t="s">
        <v>15</v>
      </c>
      <c r="O42" s="72"/>
      <c r="P42" s="71">
        <f>P46+P57</f>
        <v>0</v>
      </c>
      <c r="R42" s="140">
        <f>R46+R57</f>
        <v>304786.15</v>
      </c>
    </row>
    <row r="43" spans="1:18">
      <c r="A43" s="41"/>
      <c r="B43" s="24"/>
      <c r="C43" s="14"/>
      <c r="D43" s="14"/>
      <c r="E43" s="142">
        <f t="shared" si="7"/>
        <v>11196409.66</v>
      </c>
      <c r="F43" s="116">
        <f>F47+F54+F59</f>
        <v>1849123.76</v>
      </c>
      <c r="G43" s="116">
        <f>G47+G54+G58</f>
        <v>2611764.81</v>
      </c>
      <c r="H43" s="142">
        <f>H47+H54+H58</f>
        <v>184860.24</v>
      </c>
      <c r="I43" s="25">
        <f>I47+I54+I59</f>
        <v>2424595.25</v>
      </c>
      <c r="J43" s="25">
        <f>J47+J54</f>
        <v>4126065.6</v>
      </c>
      <c r="K43" s="25">
        <f>K47+K54</f>
        <v>0</v>
      </c>
      <c r="L43" s="25">
        <f>L47+L54</f>
        <v>0</v>
      </c>
      <c r="M43" s="25">
        <f>M47+M54</f>
        <v>0</v>
      </c>
      <c r="N43" s="64" t="s">
        <v>16</v>
      </c>
      <c r="O43" s="73"/>
      <c r="P43" s="71">
        <f>P47+P54+P58</f>
        <v>0</v>
      </c>
      <c r="R43" s="140">
        <f>R47+R54+R58</f>
        <v>153932.4</v>
      </c>
    </row>
    <row r="44" spans="1:18">
      <c r="A44" s="41"/>
      <c r="B44" s="24"/>
      <c r="C44" s="14"/>
      <c r="D44" s="14"/>
      <c r="E44" s="142">
        <f t="shared" si="7"/>
        <v>77634399.35</v>
      </c>
      <c r="F44" s="116">
        <f>F60+F59</f>
        <v>19556252.73</v>
      </c>
      <c r="G44" s="116">
        <f>G60+G59</f>
        <v>40777026.8</v>
      </c>
      <c r="H44" s="142">
        <f>+H62+H63+H61+H59</f>
        <v>17301119.82</v>
      </c>
      <c r="I44" s="25">
        <f>I60+I59</f>
        <v>0</v>
      </c>
      <c r="J44" s="25">
        <f>J60+J59</f>
        <v>0</v>
      </c>
      <c r="K44" s="25">
        <f>K60+K59</f>
        <v>0</v>
      </c>
      <c r="L44" s="25">
        <f>L60+L59</f>
        <v>0</v>
      </c>
      <c r="M44" s="25">
        <f>M60+M59</f>
        <v>0</v>
      </c>
      <c r="N44" s="25" t="s">
        <v>17</v>
      </c>
      <c r="O44" s="73"/>
      <c r="P44" s="71">
        <f>P60+P59</f>
        <v>1118935.41</v>
      </c>
      <c r="R44" s="157">
        <f>R62+R63+R61+R59</f>
        <v>-153932.4</v>
      </c>
    </row>
    <row r="45" ht="15.75" spans="1:18">
      <c r="A45" s="43" t="s">
        <v>40</v>
      </c>
      <c r="B45" s="27" t="s">
        <v>81</v>
      </c>
      <c r="C45" s="24" t="s">
        <v>154</v>
      </c>
      <c r="D45" s="14" t="s">
        <v>144</v>
      </c>
      <c r="E45" s="117">
        <f t="shared" si="7"/>
        <v>277444722.32</v>
      </c>
      <c r="F45" s="118">
        <f t="shared" ref="F45:M45" si="9">SUM(F46:F47)</f>
        <v>33079114.26</v>
      </c>
      <c r="G45" s="118">
        <f t="shared" si="9"/>
        <v>79993526.69</v>
      </c>
      <c r="H45" s="119">
        <f t="shared" si="9"/>
        <v>1030927.84</v>
      </c>
      <c r="I45" s="26">
        <f t="shared" si="9"/>
        <v>80819841.59</v>
      </c>
      <c r="J45" s="26">
        <f t="shared" si="9"/>
        <v>82521311.94</v>
      </c>
      <c r="K45" s="26">
        <f t="shared" si="9"/>
        <v>0</v>
      </c>
      <c r="L45" s="26">
        <f t="shared" si="9"/>
        <v>0</v>
      </c>
      <c r="M45" s="26">
        <f t="shared" si="9"/>
        <v>0</v>
      </c>
      <c r="N45" s="64" t="s">
        <v>144</v>
      </c>
      <c r="O45" s="74" t="s">
        <v>155</v>
      </c>
      <c r="P45" s="66">
        <f>SUM(P46:P47)</f>
        <v>0</v>
      </c>
      <c r="R45" s="159"/>
    </row>
    <row r="46" ht="15.75" spans="1:18">
      <c r="A46" s="43"/>
      <c r="B46" s="27"/>
      <c r="C46" s="24"/>
      <c r="D46" s="14"/>
      <c r="E46" s="117">
        <f t="shared" si="7"/>
        <v>267470954.4</v>
      </c>
      <c r="F46" s="120">
        <f t="shared" ref="F46:M46" si="10">F48+F49</f>
        <v>32086740.83</v>
      </c>
      <c r="G46" s="120">
        <f t="shared" si="10"/>
        <v>77593720.89</v>
      </c>
      <c r="H46" s="121">
        <f t="shared" si="10"/>
        <v>1000000</v>
      </c>
      <c r="I46" s="28">
        <f t="shared" si="10"/>
        <v>78395246.34</v>
      </c>
      <c r="J46" s="28">
        <f t="shared" si="10"/>
        <v>78395246.34</v>
      </c>
      <c r="K46" s="28">
        <f t="shared" si="10"/>
        <v>0</v>
      </c>
      <c r="L46" s="28">
        <f t="shared" si="10"/>
        <v>0</v>
      </c>
      <c r="M46" s="28">
        <f t="shared" si="10"/>
        <v>0</v>
      </c>
      <c r="N46" s="64" t="s">
        <v>15</v>
      </c>
      <c r="O46" s="74"/>
      <c r="P46" s="69">
        <f>P48+P49</f>
        <v>0</v>
      </c>
      <c r="R46" s="160"/>
    </row>
    <row r="47" ht="19.5" customHeight="1" spans="1:18">
      <c r="A47" s="43"/>
      <c r="B47" s="27"/>
      <c r="C47" s="24"/>
      <c r="D47" s="14"/>
      <c r="E47" s="117">
        <f t="shared" si="7"/>
        <v>9973767.92</v>
      </c>
      <c r="F47" s="120">
        <f t="shared" ref="F47:M47" si="11">F50+F51</f>
        <v>992373.43</v>
      </c>
      <c r="G47" s="120">
        <f t="shared" si="11"/>
        <v>2399805.8</v>
      </c>
      <c r="H47" s="121">
        <f t="shared" si="11"/>
        <v>30927.84</v>
      </c>
      <c r="I47" s="28">
        <f t="shared" si="11"/>
        <v>2424595.25</v>
      </c>
      <c r="J47" s="28">
        <f t="shared" si="11"/>
        <v>4126065.6</v>
      </c>
      <c r="K47" s="28">
        <f t="shared" si="11"/>
        <v>0</v>
      </c>
      <c r="L47" s="28">
        <f t="shared" si="11"/>
        <v>0</v>
      </c>
      <c r="M47" s="28">
        <f t="shared" si="11"/>
        <v>0</v>
      </c>
      <c r="N47" s="64" t="s">
        <v>16</v>
      </c>
      <c r="O47" s="74"/>
      <c r="P47" s="69">
        <f>P50+P51</f>
        <v>0</v>
      </c>
      <c r="R47" s="160"/>
    </row>
    <row r="48" ht="15.75" customHeight="1" spans="1:18">
      <c r="A48" s="43" t="s">
        <v>42</v>
      </c>
      <c r="B48" s="27" t="s">
        <v>156</v>
      </c>
      <c r="C48" s="24" t="s">
        <v>154</v>
      </c>
      <c r="D48" s="24" t="s">
        <v>157</v>
      </c>
      <c r="E48" s="116">
        <f t="shared" si="7"/>
        <v>255785646.43</v>
      </c>
      <c r="F48" s="120">
        <f>26400000-3212200.47</f>
        <v>23187799.53</v>
      </c>
      <c r="G48" s="120">
        <v>75807354.22</v>
      </c>
      <c r="H48" s="120">
        <v>0</v>
      </c>
      <c r="I48" s="28">
        <v>78395246.34</v>
      </c>
      <c r="J48" s="28">
        <v>78395246.34</v>
      </c>
      <c r="K48" s="28">
        <v>0</v>
      </c>
      <c r="L48" s="28">
        <v>0</v>
      </c>
      <c r="M48" s="28">
        <v>0</v>
      </c>
      <c r="N48" s="64" t="s">
        <v>71</v>
      </c>
      <c r="O48" s="72" t="s">
        <v>105</v>
      </c>
      <c r="P48" s="68">
        <v>0</v>
      </c>
      <c r="R48" s="160"/>
    </row>
    <row r="49" ht="15.75" spans="1:18">
      <c r="A49" s="43"/>
      <c r="B49" s="27"/>
      <c r="C49" s="24"/>
      <c r="D49" s="24"/>
      <c r="E49" s="117">
        <f t="shared" si="7"/>
        <v>11685307.97</v>
      </c>
      <c r="F49" s="120">
        <f>5686740.83+3212200.47</f>
        <v>8898941.3</v>
      </c>
      <c r="G49" s="120">
        <v>1786366.67</v>
      </c>
      <c r="H49" s="121">
        <v>1000000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64" t="s">
        <v>71</v>
      </c>
      <c r="O49" s="72" t="s">
        <v>146</v>
      </c>
      <c r="P49" s="68">
        <v>0</v>
      </c>
      <c r="R49" s="160"/>
    </row>
    <row r="50" ht="15.75" spans="1:18">
      <c r="A50" s="43"/>
      <c r="B50" s="27"/>
      <c r="C50" s="24"/>
      <c r="D50" s="24"/>
      <c r="E50" s="116">
        <f t="shared" si="7"/>
        <v>9612366.64</v>
      </c>
      <c r="F50" s="120">
        <f>816494.85-99346.41</f>
        <v>717148.44</v>
      </c>
      <c r="G50" s="120">
        <f>(2375317.99+24487.81)-55248.45</f>
        <v>2344557.35</v>
      </c>
      <c r="H50" s="120">
        <v>0</v>
      </c>
      <c r="I50" s="28">
        <v>2424595.25</v>
      </c>
      <c r="J50" s="28">
        <v>4126065.6</v>
      </c>
      <c r="K50" s="28">
        <v>0</v>
      </c>
      <c r="L50" s="28">
        <v>0</v>
      </c>
      <c r="M50" s="28">
        <v>0</v>
      </c>
      <c r="N50" s="64" t="s">
        <v>147</v>
      </c>
      <c r="O50" s="72" t="s">
        <v>105</v>
      </c>
      <c r="P50" s="68">
        <v>0</v>
      </c>
      <c r="R50" s="160"/>
    </row>
    <row r="51" ht="15.75" customHeight="1" spans="1:18">
      <c r="A51" s="43"/>
      <c r="B51" s="27"/>
      <c r="C51" s="24"/>
      <c r="D51" s="24"/>
      <c r="E51" s="117">
        <f t="shared" si="7"/>
        <v>361401.28</v>
      </c>
      <c r="F51" s="120">
        <f>175878.58+99346.41</f>
        <v>275224.99</v>
      </c>
      <c r="G51" s="120">
        <v>55248.45</v>
      </c>
      <c r="H51" s="121">
        <v>30927.84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64" t="s">
        <v>147</v>
      </c>
      <c r="O51" s="72" t="s">
        <v>146</v>
      </c>
      <c r="P51" s="68">
        <v>0</v>
      </c>
      <c r="R51" s="160"/>
    </row>
    <row r="52" ht="30" customHeight="1" spans="1:18">
      <c r="A52" s="43" t="s">
        <v>48</v>
      </c>
      <c r="B52" s="123" t="s">
        <v>211</v>
      </c>
      <c r="C52" s="124" t="s">
        <v>158</v>
      </c>
      <c r="D52" s="124">
        <v>2023</v>
      </c>
      <c r="E52" s="116">
        <f t="shared" si="7"/>
        <v>85675032.4</v>
      </c>
      <c r="F52" s="118">
        <f t="shared" ref="F52:M52" si="12">SUM(F53:F54)</f>
        <v>85675032.4</v>
      </c>
      <c r="G52" s="118">
        <f t="shared" si="12"/>
        <v>0</v>
      </c>
      <c r="H52" s="118">
        <f t="shared" si="12"/>
        <v>0</v>
      </c>
      <c r="I52" s="118">
        <f t="shared" si="12"/>
        <v>0</v>
      </c>
      <c r="J52" s="118">
        <f t="shared" si="12"/>
        <v>0</v>
      </c>
      <c r="K52" s="118">
        <f t="shared" si="12"/>
        <v>0</v>
      </c>
      <c r="L52" s="118">
        <f t="shared" si="12"/>
        <v>0</v>
      </c>
      <c r="M52" s="118">
        <f t="shared" si="12"/>
        <v>0</v>
      </c>
      <c r="N52" s="127" t="s">
        <v>144</v>
      </c>
      <c r="O52" s="128" t="s">
        <v>144</v>
      </c>
      <c r="P52" s="139">
        <f>SUM(P53:P54)</f>
        <v>0</v>
      </c>
      <c r="R52" s="160"/>
    </row>
    <row r="53" ht="19.5" customHeight="1" spans="1:18">
      <c r="A53" s="43"/>
      <c r="B53" s="123"/>
      <c r="C53" s="124"/>
      <c r="D53" s="124"/>
      <c r="E53" s="116">
        <f t="shared" si="7"/>
        <v>84818282.07</v>
      </c>
      <c r="F53" s="120">
        <v>84818282.07</v>
      </c>
      <c r="G53" s="120">
        <v>0</v>
      </c>
      <c r="H53" s="120">
        <v>0</v>
      </c>
      <c r="I53" s="120">
        <v>0</v>
      </c>
      <c r="J53" s="120">
        <v>0</v>
      </c>
      <c r="K53" s="120">
        <v>0</v>
      </c>
      <c r="L53" s="120">
        <v>0</v>
      </c>
      <c r="M53" s="120">
        <v>0</v>
      </c>
      <c r="N53" s="127" t="s">
        <v>78</v>
      </c>
      <c r="O53" s="131" t="s">
        <v>105</v>
      </c>
      <c r="P53" s="130">
        <v>0</v>
      </c>
      <c r="R53" s="160"/>
    </row>
    <row r="54" ht="42" customHeight="1" spans="1:18">
      <c r="A54" s="43"/>
      <c r="B54" s="123"/>
      <c r="C54" s="124"/>
      <c r="D54" s="124"/>
      <c r="E54" s="116">
        <f t="shared" si="7"/>
        <v>856750.33</v>
      </c>
      <c r="F54" s="120">
        <v>856750.33</v>
      </c>
      <c r="G54" s="120">
        <v>0</v>
      </c>
      <c r="H54" s="120">
        <v>0</v>
      </c>
      <c r="I54" s="120">
        <v>0</v>
      </c>
      <c r="J54" s="120">
        <v>0</v>
      </c>
      <c r="K54" s="120">
        <v>0</v>
      </c>
      <c r="L54" s="120">
        <v>0</v>
      </c>
      <c r="M54" s="120">
        <v>0</v>
      </c>
      <c r="N54" s="127" t="s">
        <v>147</v>
      </c>
      <c r="O54" s="131"/>
      <c r="P54" s="130">
        <v>0</v>
      </c>
      <c r="R54" s="160"/>
    </row>
    <row r="55" ht="23.25" customHeight="1" spans="1:18">
      <c r="A55" s="43" t="s">
        <v>83</v>
      </c>
      <c r="B55" s="123" t="s">
        <v>212</v>
      </c>
      <c r="C55" s="124" t="s">
        <v>159</v>
      </c>
      <c r="D55" s="124">
        <v>2024</v>
      </c>
      <c r="E55" s="142">
        <f t="shared" si="7"/>
        <v>66480165.6</v>
      </c>
      <c r="F55" s="118">
        <f t="shared" ref="F55:M55" si="13">SUM(F56:F59)</f>
        <v>0</v>
      </c>
      <c r="G55" s="118">
        <f t="shared" si="13"/>
        <v>48894475.6</v>
      </c>
      <c r="H55" s="143">
        <f t="shared" si="13"/>
        <v>17585690</v>
      </c>
      <c r="I55" s="118">
        <f t="shared" si="13"/>
        <v>0</v>
      </c>
      <c r="J55" s="118">
        <f t="shared" si="13"/>
        <v>0</v>
      </c>
      <c r="K55" s="118">
        <f t="shared" si="13"/>
        <v>0</v>
      </c>
      <c r="L55" s="118">
        <f t="shared" si="13"/>
        <v>0</v>
      </c>
      <c r="M55" s="118">
        <f t="shared" si="13"/>
        <v>0</v>
      </c>
      <c r="N55" s="127" t="s">
        <v>144</v>
      </c>
      <c r="O55" s="128" t="s">
        <v>144</v>
      </c>
      <c r="P55" s="139">
        <f>SUM(P56:P59)</f>
        <v>1118935.41</v>
      </c>
      <c r="R55" s="161">
        <f>SUM(R56:R59)</f>
        <v>17585690</v>
      </c>
    </row>
    <row r="56" ht="15.75" spans="1:18">
      <c r="A56" s="43"/>
      <c r="B56" s="123"/>
      <c r="C56" s="124"/>
      <c r="D56" s="124"/>
      <c r="E56" s="142">
        <f t="shared" si="7"/>
        <v>35498784.55</v>
      </c>
      <c r="F56" s="120">
        <v>0</v>
      </c>
      <c r="G56" s="120">
        <v>20564262.8</v>
      </c>
      <c r="H56" s="146">
        <f>0+R56</f>
        <v>14934521.75</v>
      </c>
      <c r="I56" s="120">
        <v>0</v>
      </c>
      <c r="J56" s="120">
        <v>0</v>
      </c>
      <c r="K56" s="120">
        <v>0</v>
      </c>
      <c r="L56" s="120">
        <v>0</v>
      </c>
      <c r="M56" s="120">
        <v>0</v>
      </c>
      <c r="N56" s="127" t="s">
        <v>78</v>
      </c>
      <c r="O56" s="152" t="s">
        <v>105</v>
      </c>
      <c r="P56" s="130"/>
      <c r="R56" s="160">
        <f>14934521.75</f>
        <v>14934521.75</v>
      </c>
    </row>
    <row r="57" ht="15.75" spans="1:19">
      <c r="A57" s="43"/>
      <c r="B57" s="123"/>
      <c r="C57" s="124"/>
      <c r="D57" s="124"/>
      <c r="E57" s="142">
        <f t="shared" si="7"/>
        <v>724464.99</v>
      </c>
      <c r="F57" s="120">
        <v>0</v>
      </c>
      <c r="G57" s="120">
        <v>419678.84</v>
      </c>
      <c r="H57" s="146">
        <f>0+R57</f>
        <v>304786.15</v>
      </c>
      <c r="I57" s="120">
        <v>0</v>
      </c>
      <c r="J57" s="120">
        <v>0</v>
      </c>
      <c r="K57" s="120">
        <v>0</v>
      </c>
      <c r="L57" s="120">
        <v>0</v>
      </c>
      <c r="M57" s="120">
        <v>0</v>
      </c>
      <c r="N57" s="127" t="s">
        <v>71</v>
      </c>
      <c r="O57" s="152"/>
      <c r="P57" s="130"/>
      <c r="R57" s="160">
        <f>304786.15</f>
        <v>304786.15</v>
      </c>
      <c r="S57" s="8" t="s">
        <v>213</v>
      </c>
    </row>
    <row r="58" ht="15.75" spans="1:19">
      <c r="A58" s="43"/>
      <c r="B58" s="123"/>
      <c r="C58" s="124"/>
      <c r="D58" s="124"/>
      <c r="E58" s="142">
        <f t="shared" si="7"/>
        <v>365891.41</v>
      </c>
      <c r="F58" s="120">
        <v>0</v>
      </c>
      <c r="G58" s="120">
        <v>211959.01</v>
      </c>
      <c r="H58" s="150">
        <f>0+R58</f>
        <v>153932.4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7" t="s">
        <v>147</v>
      </c>
      <c r="O58" s="152"/>
      <c r="P58" s="130"/>
      <c r="R58" s="160">
        <f>153932.4</f>
        <v>153932.4</v>
      </c>
      <c r="S58" s="8" t="s">
        <v>213</v>
      </c>
    </row>
    <row r="59" ht="21" customHeight="1" spans="1:18">
      <c r="A59" s="43"/>
      <c r="B59" s="123"/>
      <c r="C59" s="124"/>
      <c r="D59" s="124"/>
      <c r="E59" s="142">
        <f t="shared" si="7"/>
        <v>29891024.65</v>
      </c>
      <c r="F59" s="120">
        <v>0</v>
      </c>
      <c r="G59" s="120">
        <f>26579639.54+P59</f>
        <v>27698574.95</v>
      </c>
      <c r="H59" s="146">
        <f>0+R59</f>
        <v>2192449.7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7" t="s">
        <v>73</v>
      </c>
      <c r="O59" s="152"/>
      <c r="P59" s="130">
        <f>9231.48+572032.86+537671.07</f>
        <v>1118935.41</v>
      </c>
      <c r="R59" s="162">
        <f>2192449.7</f>
        <v>2192449.7</v>
      </c>
    </row>
    <row r="60" s="1" customFormat="1" ht="15.75" spans="1:18">
      <c r="A60" s="43" t="s">
        <v>128</v>
      </c>
      <c r="B60" s="123" t="s">
        <v>129</v>
      </c>
      <c r="C60" s="124" t="s">
        <v>145</v>
      </c>
      <c r="D60" s="124" t="s">
        <v>123</v>
      </c>
      <c r="E60" s="142">
        <f t="shared" si="7"/>
        <v>47743374.7</v>
      </c>
      <c r="F60" s="118">
        <f t="shared" ref="F60:M60" si="14">F62+F61+F63</f>
        <v>19556252.73</v>
      </c>
      <c r="G60" s="118">
        <f t="shared" si="14"/>
        <v>13078451.85</v>
      </c>
      <c r="H60" s="143">
        <f t="shared" si="14"/>
        <v>15108670.12</v>
      </c>
      <c r="I60" s="118">
        <f t="shared" si="14"/>
        <v>0</v>
      </c>
      <c r="J60" s="118">
        <f t="shared" si="14"/>
        <v>0</v>
      </c>
      <c r="K60" s="118">
        <f t="shared" si="14"/>
        <v>0</v>
      </c>
      <c r="L60" s="118">
        <f t="shared" si="14"/>
        <v>0</v>
      </c>
      <c r="M60" s="118">
        <f t="shared" si="14"/>
        <v>0</v>
      </c>
      <c r="N60" s="127" t="s">
        <v>144</v>
      </c>
      <c r="O60" s="128" t="s">
        <v>144</v>
      </c>
      <c r="P60" s="129">
        <f>P62+P61+P63</f>
        <v>0</v>
      </c>
      <c r="Q60" s="78"/>
      <c r="R60" s="143">
        <f>R62+R61+R63</f>
        <v>-2346382.1</v>
      </c>
    </row>
    <row r="61" s="1" customFormat="1" ht="15.75" spans="1:19">
      <c r="A61" s="43"/>
      <c r="B61" s="123"/>
      <c r="C61" s="124"/>
      <c r="D61" s="124"/>
      <c r="E61" s="142">
        <f t="shared" si="7"/>
        <v>35175014.24</v>
      </c>
      <c r="F61" s="120">
        <v>14358252.73</v>
      </c>
      <c r="G61" s="120">
        <f>1749443.35+249648.04+6859000+P61</f>
        <v>8858091.39</v>
      </c>
      <c r="H61" s="146">
        <f>14305052.22+R61</f>
        <v>11958670.12</v>
      </c>
      <c r="I61" s="120">
        <v>0</v>
      </c>
      <c r="J61" s="120">
        <v>0</v>
      </c>
      <c r="K61" s="120">
        <v>0</v>
      </c>
      <c r="L61" s="120">
        <v>0</v>
      </c>
      <c r="M61" s="120">
        <v>0</v>
      </c>
      <c r="N61" s="127" t="s">
        <v>73</v>
      </c>
      <c r="O61" s="128" t="s">
        <v>105</v>
      </c>
      <c r="P61" s="130"/>
      <c r="Q61" s="78"/>
      <c r="R61" s="156">
        <f>-153932.4+-2192449.7</f>
        <v>-2346382.1</v>
      </c>
      <c r="S61" s="1" t="s">
        <v>214</v>
      </c>
    </row>
    <row r="62" s="1" customFormat="1" ht="15.75" spans="1:18">
      <c r="A62" s="43"/>
      <c r="B62" s="123"/>
      <c r="C62" s="124"/>
      <c r="D62" s="124"/>
      <c r="E62" s="116">
        <f t="shared" si="7"/>
        <v>7538360.46</v>
      </c>
      <c r="F62" s="120">
        <v>4600000</v>
      </c>
      <c r="G62" s="120">
        <v>2938360.46</v>
      </c>
      <c r="H62" s="120">
        <v>0</v>
      </c>
      <c r="I62" s="120">
        <v>0</v>
      </c>
      <c r="J62" s="120">
        <v>0</v>
      </c>
      <c r="K62" s="120">
        <v>0</v>
      </c>
      <c r="L62" s="120">
        <v>0</v>
      </c>
      <c r="M62" s="120">
        <v>0</v>
      </c>
      <c r="N62" s="127" t="s">
        <v>73</v>
      </c>
      <c r="O62" s="128" t="s">
        <v>146</v>
      </c>
      <c r="P62" s="130"/>
      <c r="Q62" s="78"/>
      <c r="R62" s="157"/>
    </row>
    <row r="63" s="1" customFormat="1" ht="28.5" spans="1:18">
      <c r="A63" s="43"/>
      <c r="B63" s="123"/>
      <c r="C63" s="124"/>
      <c r="D63" s="124"/>
      <c r="E63" s="116">
        <f t="shared" si="7"/>
        <v>5030000</v>
      </c>
      <c r="F63" s="120">
        <v>598000</v>
      </c>
      <c r="G63" s="120">
        <v>1282000</v>
      </c>
      <c r="H63" s="120">
        <v>3150000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7" t="s">
        <v>73</v>
      </c>
      <c r="O63" s="131" t="s">
        <v>101</v>
      </c>
      <c r="P63" s="130"/>
      <c r="Q63" s="78"/>
      <c r="R63" s="157"/>
    </row>
    <row r="64" ht="18.75" spans="1:16">
      <c r="A64" s="39" t="s">
        <v>55</v>
      </c>
      <c r="B64" s="125" t="s">
        <v>56</v>
      </c>
      <c r="C64" s="125"/>
      <c r="D64" s="125"/>
      <c r="E64" s="126"/>
      <c r="F64" s="126"/>
      <c r="G64" s="126"/>
      <c r="H64" s="126"/>
      <c r="I64" s="126"/>
      <c r="J64" s="126"/>
      <c r="K64" s="125"/>
      <c r="L64" s="125"/>
      <c r="M64" s="125"/>
      <c r="N64" s="125"/>
      <c r="O64" s="125"/>
      <c r="P64" s="132"/>
    </row>
    <row r="65" ht="15.75" spans="1:18">
      <c r="A65" s="41" t="s">
        <v>57</v>
      </c>
      <c r="B65" s="123" t="s">
        <v>160</v>
      </c>
      <c r="C65" s="124" t="s">
        <v>145</v>
      </c>
      <c r="D65" s="124" t="s">
        <v>150</v>
      </c>
      <c r="E65" s="143">
        <f t="shared" ref="E65:E71" si="15">F65+G65+H65+I65+J65</f>
        <v>27666775.9</v>
      </c>
      <c r="F65" s="118">
        <f t="shared" ref="F65:M65" si="16">F66+F67</f>
        <v>8737726.51</v>
      </c>
      <c r="G65" s="118">
        <f t="shared" si="16"/>
        <v>8609196.32</v>
      </c>
      <c r="H65" s="143">
        <f t="shared" si="16"/>
        <v>10319853.07</v>
      </c>
      <c r="I65" s="118">
        <f t="shared" si="16"/>
        <v>0</v>
      </c>
      <c r="J65" s="118">
        <f t="shared" si="16"/>
        <v>0</v>
      </c>
      <c r="K65" s="118">
        <f t="shared" si="16"/>
        <v>0</v>
      </c>
      <c r="L65" s="118">
        <f t="shared" si="16"/>
        <v>0</v>
      </c>
      <c r="M65" s="118">
        <f t="shared" si="16"/>
        <v>0</v>
      </c>
      <c r="N65" s="127" t="s">
        <v>10</v>
      </c>
      <c r="O65" s="136" t="s">
        <v>144</v>
      </c>
      <c r="P65" s="129">
        <f>P66+P67</f>
        <v>-923148</v>
      </c>
      <c r="R65" s="139">
        <f>R66+R67</f>
        <v>-1801359.05</v>
      </c>
    </row>
    <row r="66" ht="15.75" spans="1:18">
      <c r="A66" s="41"/>
      <c r="B66" s="123"/>
      <c r="C66" s="124"/>
      <c r="D66" s="124"/>
      <c r="E66" s="143">
        <f t="shared" si="15"/>
        <v>27379758.14</v>
      </c>
      <c r="F66" s="120">
        <f t="shared" ref="F66:M66" si="17">F68+F69</f>
        <v>8639999.24</v>
      </c>
      <c r="G66" s="120">
        <f t="shared" si="17"/>
        <v>8523104.36</v>
      </c>
      <c r="H66" s="146">
        <f t="shared" si="17"/>
        <v>10216654.54</v>
      </c>
      <c r="I66" s="120">
        <f t="shared" si="17"/>
        <v>0</v>
      </c>
      <c r="J66" s="120">
        <f t="shared" si="17"/>
        <v>0</v>
      </c>
      <c r="K66" s="120">
        <f t="shared" si="17"/>
        <v>0</v>
      </c>
      <c r="L66" s="120">
        <f t="shared" si="17"/>
        <v>0</v>
      </c>
      <c r="M66" s="120">
        <f t="shared" si="17"/>
        <v>0</v>
      </c>
      <c r="N66" s="135" t="s">
        <v>15</v>
      </c>
      <c r="O66" s="136" t="s">
        <v>144</v>
      </c>
      <c r="P66" s="129">
        <f>P68+P69</f>
        <v>-913916.52</v>
      </c>
      <c r="R66" s="129">
        <f>R68+R69</f>
        <v>-1783345.46</v>
      </c>
    </row>
    <row r="67" ht="15.75" spans="1:18">
      <c r="A67" s="41"/>
      <c r="B67" s="123"/>
      <c r="C67" s="124"/>
      <c r="D67" s="124"/>
      <c r="E67" s="143">
        <f t="shared" si="15"/>
        <v>287017.76</v>
      </c>
      <c r="F67" s="120">
        <f t="shared" ref="F67:M67" si="18">F70+F71</f>
        <v>97727.27</v>
      </c>
      <c r="G67" s="120">
        <f t="shared" si="18"/>
        <v>86091.96</v>
      </c>
      <c r="H67" s="146">
        <f t="shared" si="18"/>
        <v>103198.53</v>
      </c>
      <c r="I67" s="120">
        <f t="shared" si="18"/>
        <v>0</v>
      </c>
      <c r="J67" s="120">
        <f t="shared" si="18"/>
        <v>0</v>
      </c>
      <c r="K67" s="120">
        <f t="shared" si="18"/>
        <v>0</v>
      </c>
      <c r="L67" s="120">
        <f t="shared" si="18"/>
        <v>0</v>
      </c>
      <c r="M67" s="120">
        <f t="shared" si="18"/>
        <v>0</v>
      </c>
      <c r="N67" s="135" t="s">
        <v>16</v>
      </c>
      <c r="O67" s="136" t="s">
        <v>144</v>
      </c>
      <c r="P67" s="129">
        <f>P70+P71</f>
        <v>-9231.48</v>
      </c>
      <c r="R67" s="129">
        <f>R70+R71</f>
        <v>-18013.59</v>
      </c>
    </row>
    <row r="68" ht="15.75" spans="1:19">
      <c r="A68" s="43" t="s">
        <v>59</v>
      </c>
      <c r="B68" s="123" t="s">
        <v>86</v>
      </c>
      <c r="C68" s="124" t="s">
        <v>145</v>
      </c>
      <c r="D68" s="124" t="s">
        <v>150</v>
      </c>
      <c r="E68" s="143">
        <f t="shared" si="15"/>
        <v>27379758.14</v>
      </c>
      <c r="F68" s="120">
        <f>9674999.52-1035000.28</f>
        <v>8639999.24</v>
      </c>
      <c r="G68" s="120">
        <f>9437020.88+P68</f>
        <v>8523104.36</v>
      </c>
      <c r="H68" s="146">
        <f>12000000+R68</f>
        <v>10216654.54</v>
      </c>
      <c r="I68" s="118">
        <v>0</v>
      </c>
      <c r="J68" s="118">
        <v>0</v>
      </c>
      <c r="K68" s="118">
        <v>0</v>
      </c>
      <c r="L68" s="118">
        <v>0</v>
      </c>
      <c r="M68" s="118">
        <v>0</v>
      </c>
      <c r="N68" s="127" t="s">
        <v>161</v>
      </c>
      <c r="O68" s="136" t="s">
        <v>105</v>
      </c>
      <c r="P68" s="137">
        <f>-855000.27+-58916.25</f>
        <v>-913916.52</v>
      </c>
      <c r="Q68" s="7" t="s">
        <v>204</v>
      </c>
      <c r="R68" s="159">
        <f>-1783345.46</f>
        <v>-1783345.46</v>
      </c>
      <c r="S68" s="8" t="s">
        <v>215</v>
      </c>
    </row>
    <row r="69" ht="15.75" spans="1:18">
      <c r="A69" s="43"/>
      <c r="B69" s="123"/>
      <c r="C69" s="124"/>
      <c r="D69" s="124"/>
      <c r="E69" s="163">
        <f t="shared" si="15"/>
        <v>0</v>
      </c>
      <c r="F69" s="120">
        <v>0</v>
      </c>
      <c r="G69" s="120">
        <v>0</v>
      </c>
      <c r="H69" s="164">
        <v>0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7" t="s">
        <v>161</v>
      </c>
      <c r="O69" s="136" t="s">
        <v>146</v>
      </c>
      <c r="P69" s="137"/>
      <c r="R69" s="160"/>
    </row>
    <row r="70" ht="15.75" spans="1:19">
      <c r="A70" s="43"/>
      <c r="B70" s="123"/>
      <c r="C70" s="124"/>
      <c r="D70" s="124"/>
      <c r="E70" s="165">
        <f t="shared" si="15"/>
        <v>287017.76</v>
      </c>
      <c r="F70" s="120">
        <v>97727.27</v>
      </c>
      <c r="G70" s="120">
        <f>95323.44+P70</f>
        <v>86091.96</v>
      </c>
      <c r="H70" s="166">
        <f>121212.12+R70</f>
        <v>103198.53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7" t="s">
        <v>147</v>
      </c>
      <c r="O70" s="136" t="s">
        <v>105</v>
      </c>
      <c r="P70" s="137">
        <f>-8636.37+-595.11</f>
        <v>-9231.48</v>
      </c>
      <c r="Q70" s="7" t="s">
        <v>205</v>
      </c>
      <c r="R70" s="160">
        <f>-18013.59</f>
        <v>-18013.59</v>
      </c>
      <c r="S70" s="8" t="s">
        <v>216</v>
      </c>
    </row>
    <row r="71" ht="15.75" spans="1:18">
      <c r="A71" s="43"/>
      <c r="B71" s="123"/>
      <c r="C71" s="124"/>
      <c r="D71" s="124"/>
      <c r="E71" s="118">
        <f t="shared" si="15"/>
        <v>0</v>
      </c>
      <c r="F71" s="120">
        <v>0</v>
      </c>
      <c r="G71" s="120">
        <v>0</v>
      </c>
      <c r="H71" s="120">
        <v>0</v>
      </c>
      <c r="I71" s="120">
        <v>0</v>
      </c>
      <c r="J71" s="120">
        <v>0</v>
      </c>
      <c r="K71" s="120">
        <v>0</v>
      </c>
      <c r="L71" s="120">
        <v>0</v>
      </c>
      <c r="M71" s="120">
        <v>0</v>
      </c>
      <c r="N71" s="127" t="s">
        <v>16</v>
      </c>
      <c r="O71" s="136" t="s">
        <v>162</v>
      </c>
      <c r="P71" s="137"/>
      <c r="R71" s="160"/>
    </row>
    <row r="72" ht="16.5" customHeight="1" spans="1:18">
      <c r="A72" s="39" t="s">
        <v>163</v>
      </c>
      <c r="B72" s="133" t="s">
        <v>185</v>
      </c>
      <c r="C72" s="125" t="s">
        <v>144</v>
      </c>
      <c r="D72" s="125" t="s">
        <v>144</v>
      </c>
      <c r="E72" s="167">
        <f>SUM(F72:M72)</f>
        <v>1060411116.12</v>
      </c>
      <c r="F72" s="134">
        <f t="shared" ref="F72:M72" si="19">F73+F74+F75+F76</f>
        <v>311612202.48</v>
      </c>
      <c r="G72" s="134">
        <f t="shared" si="19"/>
        <v>291518762.75</v>
      </c>
      <c r="H72" s="165">
        <f t="shared" si="19"/>
        <v>172624438.11</v>
      </c>
      <c r="I72" s="134">
        <f t="shared" si="19"/>
        <v>142016184.66</v>
      </c>
      <c r="J72" s="134">
        <f t="shared" si="19"/>
        <v>142639528.12</v>
      </c>
      <c r="K72" s="134">
        <f t="shared" si="19"/>
        <v>0</v>
      </c>
      <c r="L72" s="134">
        <f t="shared" si="19"/>
        <v>0</v>
      </c>
      <c r="M72" s="134">
        <f t="shared" si="19"/>
        <v>0</v>
      </c>
      <c r="N72" s="127" t="s">
        <v>4</v>
      </c>
      <c r="O72" s="134" t="s">
        <v>144</v>
      </c>
      <c r="P72" s="138">
        <f>P73+P74+P75+P76</f>
        <v>195787.41</v>
      </c>
      <c r="R72" s="161">
        <f>R73+R74+R75+R76</f>
        <v>13455962.44</v>
      </c>
    </row>
    <row r="73" ht="18.75" spans="1:18">
      <c r="A73" s="39" t="s">
        <v>164</v>
      </c>
      <c r="B73" s="133"/>
      <c r="C73" s="125" t="s">
        <v>144</v>
      </c>
      <c r="D73" s="125" t="s">
        <v>144</v>
      </c>
      <c r="E73" s="134">
        <f>SUM(F73:M73)</f>
        <v>407955867.3</v>
      </c>
      <c r="F73" s="118">
        <f t="shared" ref="F73:M73" si="20">F19+F41</f>
        <v>226297399.5</v>
      </c>
      <c r="G73" s="118">
        <f t="shared" si="20"/>
        <v>57165901.86</v>
      </c>
      <c r="H73" s="118">
        <f t="shared" si="20"/>
        <v>51494999.9</v>
      </c>
      <c r="I73" s="118">
        <f t="shared" si="20"/>
        <v>37268682.78</v>
      </c>
      <c r="J73" s="118">
        <f t="shared" si="20"/>
        <v>35728883.26</v>
      </c>
      <c r="K73" s="118">
        <f t="shared" si="20"/>
        <v>0</v>
      </c>
      <c r="L73" s="118">
        <f t="shared" si="20"/>
        <v>0</v>
      </c>
      <c r="M73" s="118">
        <f t="shared" si="20"/>
        <v>0</v>
      </c>
      <c r="N73" s="127" t="s">
        <v>14</v>
      </c>
      <c r="O73" s="134" t="s">
        <v>144</v>
      </c>
      <c r="P73" s="139">
        <f>P19+P41</f>
        <v>0</v>
      </c>
      <c r="R73" s="161">
        <f>R19+R41</f>
        <v>14934521.75</v>
      </c>
    </row>
    <row r="74" ht="18.75" spans="1:18">
      <c r="A74" s="39" t="s">
        <v>165</v>
      </c>
      <c r="B74" s="133"/>
      <c r="C74" s="125" t="s">
        <v>144</v>
      </c>
      <c r="D74" s="125" t="s">
        <v>144</v>
      </c>
      <c r="E74" s="167">
        <f>SUM(F74:M74)</f>
        <v>299211813.48</v>
      </c>
      <c r="F74" s="118">
        <f t="shared" ref="F74:M74" si="21">F20+F42+F66</f>
        <v>41450803.69</v>
      </c>
      <c r="G74" s="118">
        <f t="shared" si="21"/>
        <v>87283476.32</v>
      </c>
      <c r="H74" s="165">
        <f t="shared" si="21"/>
        <v>12244120.39</v>
      </c>
      <c r="I74" s="118">
        <f t="shared" si="21"/>
        <v>79131924.91</v>
      </c>
      <c r="J74" s="118">
        <f t="shared" si="21"/>
        <v>79101488.17</v>
      </c>
      <c r="K74" s="118">
        <f t="shared" si="21"/>
        <v>0</v>
      </c>
      <c r="L74" s="118">
        <f t="shared" si="21"/>
        <v>0</v>
      </c>
      <c r="M74" s="118">
        <f t="shared" si="21"/>
        <v>0</v>
      </c>
      <c r="N74" s="127" t="s">
        <v>71</v>
      </c>
      <c r="O74" s="134" t="s">
        <v>144</v>
      </c>
      <c r="P74" s="139">
        <f>P20+P42+P66</f>
        <v>-913916.52</v>
      </c>
      <c r="R74" s="170">
        <f>R20+R42+R66</f>
        <v>-1478559.31</v>
      </c>
    </row>
    <row r="75" ht="18.75" customHeight="1" spans="1:18">
      <c r="A75" s="39" t="s">
        <v>166</v>
      </c>
      <c r="B75" s="133"/>
      <c r="C75" s="125" t="s">
        <v>144</v>
      </c>
      <c r="D75" s="125" t="s">
        <v>144</v>
      </c>
      <c r="E75" s="167">
        <f>SUM(F75:M75)</f>
        <v>12414459.79</v>
      </c>
      <c r="F75" s="118">
        <f t="shared" ref="F75:M75" si="22">F21+F43+F67</f>
        <v>2128776.56</v>
      </c>
      <c r="G75" s="118">
        <f t="shared" si="22"/>
        <v>2885538.24</v>
      </c>
      <c r="H75" s="165">
        <f t="shared" si="22"/>
        <v>475411.33</v>
      </c>
      <c r="I75" s="118">
        <f t="shared" si="22"/>
        <v>2615576.97</v>
      </c>
      <c r="J75" s="118">
        <f t="shared" si="22"/>
        <v>4309156.69</v>
      </c>
      <c r="K75" s="118">
        <f t="shared" si="22"/>
        <v>0</v>
      </c>
      <c r="L75" s="118">
        <f t="shared" si="22"/>
        <v>0</v>
      </c>
      <c r="M75" s="118">
        <f t="shared" si="22"/>
        <v>0</v>
      </c>
      <c r="N75" s="127" t="s">
        <v>16</v>
      </c>
      <c r="O75" s="134" t="s">
        <v>144</v>
      </c>
      <c r="P75" s="139">
        <f>P21+P43+P67</f>
        <v>-9231.48</v>
      </c>
      <c r="R75" s="171">
        <f>R21+R43+R67</f>
        <v>135918.81</v>
      </c>
    </row>
    <row r="76" ht="18.75" customHeight="1" spans="1:18">
      <c r="A76" s="39" t="s">
        <v>167</v>
      </c>
      <c r="B76" s="133"/>
      <c r="C76" s="125" t="s">
        <v>144</v>
      </c>
      <c r="D76" s="125" t="s">
        <v>144</v>
      </c>
      <c r="E76" s="168">
        <f>SUM(F76:M76)</f>
        <v>340828975.55</v>
      </c>
      <c r="F76" s="116">
        <f>F44+F22</f>
        <v>41735222.73</v>
      </c>
      <c r="G76" s="116">
        <f>G44+G22</f>
        <v>144183846.33</v>
      </c>
      <c r="H76" s="169">
        <f>H44+H22</f>
        <v>108409906.49</v>
      </c>
      <c r="I76" s="116">
        <f>I44+I22</f>
        <v>23000000</v>
      </c>
      <c r="J76" s="116">
        <f>J44+J22</f>
        <v>23500000</v>
      </c>
      <c r="K76" s="116">
        <f>K44</f>
        <v>0</v>
      </c>
      <c r="L76" s="116">
        <f>L44</f>
        <v>0</v>
      </c>
      <c r="M76" s="116">
        <f>M44</f>
        <v>0</v>
      </c>
      <c r="N76" s="127" t="s">
        <v>73</v>
      </c>
      <c r="O76" s="134" t="s">
        <v>144</v>
      </c>
      <c r="P76" s="140">
        <f>P44+P22</f>
        <v>1118935.41</v>
      </c>
      <c r="R76" s="172">
        <f>R44+R22</f>
        <v>-135918.81</v>
      </c>
    </row>
    <row r="77" ht="18.75" spans="1:16">
      <c r="A77" s="82" t="s">
        <v>217</v>
      </c>
      <c r="B77" s="82"/>
      <c r="C77" s="82"/>
      <c r="D77" s="82"/>
      <c r="E77" s="67"/>
      <c r="F77" s="67"/>
      <c r="G77" s="67"/>
      <c r="H77" s="67"/>
      <c r="I77" s="67"/>
      <c r="J77" s="67"/>
      <c r="K77" s="89"/>
      <c r="L77" s="89"/>
      <c r="M77" s="89"/>
      <c r="N77" s="64"/>
      <c r="O77" s="92"/>
      <c r="P77" s="68"/>
    </row>
    <row r="78" ht="15.75" hidden="1" spans="1:17">
      <c r="A78" s="83"/>
      <c r="B78" s="84"/>
      <c r="C78" s="84"/>
      <c r="D78" s="84"/>
      <c r="E78" s="85" t="e">
        <f>E72-#REF!</f>
        <v>#REF!</v>
      </c>
      <c r="F78" s="85">
        <f>F72-'изм 48 коррект бюджет'!F69</f>
        <v>0</v>
      </c>
      <c r="G78" s="85" t="e">
        <f>G72-#REF!</f>
        <v>#REF!</v>
      </c>
      <c r="H78" s="85">
        <f>H72-'изм 48 коррект бюджет'!H69</f>
        <v>92630911.42</v>
      </c>
      <c r="I78" s="85">
        <f>I72-'изм 48 коррект бюджет'!I69</f>
        <v>62022657.97</v>
      </c>
      <c r="J78" s="29"/>
      <c r="K78" s="93"/>
      <c r="L78" s="93"/>
      <c r="M78" s="93"/>
      <c r="N78" s="93"/>
      <c r="Q78" s="114">
        <f>(G75+G76)/1000000</f>
        <v>147.06938457</v>
      </c>
    </row>
    <row r="79" ht="18.75" spans="1:15">
      <c r="A79" s="83"/>
      <c r="B79" s="86" t="s">
        <v>187</v>
      </c>
      <c r="I79" s="94"/>
      <c r="J79" s="29"/>
      <c r="K79" s="95" t="s">
        <v>87</v>
      </c>
      <c r="L79" s="95"/>
      <c r="M79" s="95"/>
      <c r="N79" s="96">
        <v>178063747.64</v>
      </c>
      <c r="O79" s="96"/>
    </row>
    <row r="80" s="1" customFormat="1" ht="18.75" spans="1:18">
      <c r="A80" s="83"/>
      <c r="B80" s="86"/>
      <c r="C80" s="3"/>
      <c r="D80" s="3"/>
      <c r="E80" s="2"/>
      <c r="F80" s="2"/>
      <c r="G80" s="2"/>
      <c r="H80" s="2"/>
      <c r="I80" s="97"/>
      <c r="J80" s="29"/>
      <c r="K80" s="95" t="s">
        <v>88</v>
      </c>
      <c r="L80" s="95"/>
      <c r="M80" s="95"/>
      <c r="N80" s="96">
        <v>506829756.46</v>
      </c>
      <c r="O80" s="96"/>
      <c r="P80" s="98"/>
      <c r="Q80" s="78"/>
      <c r="R80" s="153"/>
    </row>
    <row r="81" s="1" customFormat="1" ht="18.75" spans="1:18">
      <c r="A81" s="83"/>
      <c r="B81" s="86" t="s">
        <v>188</v>
      </c>
      <c r="C81" s="3"/>
      <c r="D81" s="3"/>
      <c r="E81" s="2"/>
      <c r="F81" s="2"/>
      <c r="G81" s="2"/>
      <c r="H81" s="2"/>
      <c r="I81" s="97"/>
      <c r="J81" s="29"/>
      <c r="K81" s="99" t="s">
        <v>157</v>
      </c>
      <c r="L81" s="99"/>
      <c r="M81" s="99"/>
      <c r="N81" s="100">
        <f>N82+N83+N84</f>
        <v>917771588</v>
      </c>
      <c r="O81" s="100"/>
      <c r="P81" s="98"/>
      <c r="Q81" s="78"/>
      <c r="R81" s="153"/>
    </row>
    <row r="82" s="1" customFormat="1" ht="18.75" spans="1:18">
      <c r="A82" s="83"/>
      <c r="B82" s="86" t="s">
        <v>189</v>
      </c>
      <c r="C82" s="3"/>
      <c r="D82" s="3"/>
      <c r="E82" s="2"/>
      <c r="F82" s="2"/>
      <c r="G82" s="2"/>
      <c r="H82" s="2"/>
      <c r="I82" s="97"/>
      <c r="J82" s="29"/>
      <c r="K82" s="101" t="s">
        <v>157</v>
      </c>
      <c r="L82" s="101"/>
      <c r="M82" s="102" t="s">
        <v>14</v>
      </c>
      <c r="N82" s="103">
        <f>F73+G73+H73+I73</f>
        <v>372226984.04</v>
      </c>
      <c r="O82" s="103"/>
      <c r="P82" s="98"/>
      <c r="Q82" s="78"/>
      <c r="R82" s="153"/>
    </row>
    <row r="83" s="1" customFormat="1" ht="18.75" spans="1:18">
      <c r="A83" s="83"/>
      <c r="B83" s="86" t="s">
        <v>190</v>
      </c>
      <c r="C83" s="3"/>
      <c r="D83" s="3"/>
      <c r="E83" s="2"/>
      <c r="F83" s="2"/>
      <c r="G83" s="2"/>
      <c r="H83" s="2"/>
      <c r="I83" s="97"/>
      <c r="J83" s="29"/>
      <c r="K83" s="101" t="s">
        <v>157</v>
      </c>
      <c r="L83" s="101"/>
      <c r="M83" s="102" t="s">
        <v>71</v>
      </c>
      <c r="N83" s="104">
        <f>F74+G74+H74+I74</f>
        <v>220110325.31</v>
      </c>
      <c r="O83" s="104"/>
      <c r="P83" s="98"/>
      <c r="Q83" s="78"/>
      <c r="R83" s="153"/>
    </row>
    <row r="84" s="1" customFormat="1" ht="18.75" spans="1:18">
      <c r="A84" s="83"/>
      <c r="B84" s="86" t="s">
        <v>191</v>
      </c>
      <c r="C84" s="3"/>
      <c r="D84" s="3"/>
      <c r="E84" s="2"/>
      <c r="F84" s="2"/>
      <c r="G84" s="2"/>
      <c r="H84" s="2"/>
      <c r="I84" s="97"/>
      <c r="J84" s="29"/>
      <c r="K84" s="101" t="s">
        <v>157</v>
      </c>
      <c r="L84" s="101"/>
      <c r="M84" s="105" t="s">
        <v>207</v>
      </c>
      <c r="N84" s="106">
        <f>N85+N86</f>
        <v>325434278.65</v>
      </c>
      <c r="O84" s="107"/>
      <c r="P84" s="98"/>
      <c r="Q84" s="78"/>
      <c r="R84" s="153"/>
    </row>
    <row r="85" s="1" customFormat="1" ht="18.75" spans="1:18">
      <c r="A85" s="83"/>
      <c r="B85" s="87" t="s">
        <v>192</v>
      </c>
      <c r="C85" s="87"/>
      <c r="D85" s="87"/>
      <c r="E85" s="88"/>
      <c r="F85" s="88"/>
      <c r="G85" s="88"/>
      <c r="H85" s="88"/>
      <c r="I85" s="97"/>
      <c r="J85" s="29"/>
      <c r="K85" s="101" t="s">
        <v>157</v>
      </c>
      <c r="L85" s="101"/>
      <c r="M85" s="105" t="s">
        <v>16</v>
      </c>
      <c r="N85" s="108">
        <f>F75+G75+H75+I75</f>
        <v>8105303.1</v>
      </c>
      <c r="O85" s="108"/>
      <c r="P85" s="109">
        <f>N85+N86</f>
        <v>325434278.65</v>
      </c>
      <c r="Q85" s="78"/>
      <c r="R85" s="153"/>
    </row>
    <row r="86" s="1" customFormat="1" ht="18.75" spans="1:18">
      <c r="A86" s="83"/>
      <c r="B86" s="86" t="s">
        <v>193</v>
      </c>
      <c r="C86" s="3"/>
      <c r="D86" s="3"/>
      <c r="E86" s="2"/>
      <c r="F86" s="2"/>
      <c r="G86" s="2"/>
      <c r="H86" s="2"/>
      <c r="I86" s="97"/>
      <c r="J86" s="29"/>
      <c r="K86" s="101" t="s">
        <v>157</v>
      </c>
      <c r="L86" s="101"/>
      <c r="M86" s="105" t="s">
        <v>73</v>
      </c>
      <c r="N86" s="108">
        <f>F76+G76+H76+I76</f>
        <v>317328975.55</v>
      </c>
      <c r="O86" s="108"/>
      <c r="P86" s="109"/>
      <c r="Q86" s="78"/>
      <c r="R86" s="153"/>
    </row>
    <row r="87" s="1" customFormat="1" ht="18.75" spans="1:18">
      <c r="A87" s="83"/>
      <c r="B87" s="86" t="s">
        <v>195</v>
      </c>
      <c r="C87" s="3"/>
      <c r="D87" s="3"/>
      <c r="E87" s="2"/>
      <c r="F87" s="2"/>
      <c r="G87" s="2"/>
      <c r="H87" s="2"/>
      <c r="I87" s="97"/>
      <c r="J87" s="29"/>
      <c r="K87" s="95" t="s">
        <v>194</v>
      </c>
      <c r="L87" s="95"/>
      <c r="M87" s="95"/>
      <c r="N87" s="110">
        <f>J72+K72+L72+M72</f>
        <v>142639528.12</v>
      </c>
      <c r="O87" s="110"/>
      <c r="P87" s="98"/>
      <c r="Q87" s="78"/>
      <c r="R87" s="153"/>
    </row>
    <row r="88" ht="18.75" spans="2:15">
      <c r="B88" s="86" t="s">
        <v>196</v>
      </c>
      <c r="I88" s="85"/>
      <c r="J88" s="29"/>
      <c r="K88" s="29"/>
      <c r="L88" s="29"/>
      <c r="M88" s="29"/>
      <c r="N88" s="111">
        <f>N87+N81+N80+N79</f>
        <v>1745304620.22</v>
      </c>
      <c r="O88" s="112"/>
    </row>
    <row r="89" ht="18.75" spans="2:15">
      <c r="B89" s="86" t="s">
        <v>197</v>
      </c>
      <c r="N89" s="113"/>
      <c r="O89" s="113"/>
    </row>
    <row r="90" ht="18" customHeight="1"/>
    <row r="91" hidden="1"/>
    <row r="92" hidden="1"/>
    <row r="93" hidden="1"/>
    <row r="94" ht="2" hidden="1" customHeight="1"/>
    <row r="95" hidden="1"/>
    <row r="96" hidden="1"/>
    <row r="97" hidden="1"/>
    <row r="98" hidden="1"/>
    <row r="99" hidden="1"/>
    <row r="100" ht="38.25" customHeight="1"/>
    <row r="101" s="2" customFormat="1" spans="1:18">
      <c r="A101" s="3"/>
      <c r="K101" s="3"/>
      <c r="L101" s="3"/>
      <c r="M101" s="3"/>
      <c r="N101" s="4" t="s">
        <v>125</v>
      </c>
      <c r="O101" s="5"/>
      <c r="P101" s="6"/>
      <c r="Q101" s="115"/>
      <c r="R101" s="141"/>
    </row>
  </sheetData>
  <mergeCells count="89">
    <mergeCell ref="J2:L2"/>
    <mergeCell ref="B11:G11"/>
    <mergeCell ref="E13:M13"/>
    <mergeCell ref="F14:M14"/>
    <mergeCell ref="B17:P17"/>
    <mergeCell ref="B39:P39"/>
    <mergeCell ref="B64:P64"/>
    <mergeCell ref="A77:D77"/>
    <mergeCell ref="K79:M79"/>
    <mergeCell ref="N79:O79"/>
    <mergeCell ref="K80:M80"/>
    <mergeCell ref="N80:O80"/>
    <mergeCell ref="K81:M81"/>
    <mergeCell ref="N81:O81"/>
    <mergeCell ref="K82:L82"/>
    <mergeCell ref="N82:O82"/>
    <mergeCell ref="K83:L83"/>
    <mergeCell ref="N83:O83"/>
    <mergeCell ref="K84:L84"/>
    <mergeCell ref="N84:O84"/>
    <mergeCell ref="B85:H85"/>
    <mergeCell ref="K85:L85"/>
    <mergeCell ref="N85:O85"/>
    <mergeCell ref="K86:L86"/>
    <mergeCell ref="N86:O86"/>
    <mergeCell ref="K87:M87"/>
    <mergeCell ref="N87:O87"/>
    <mergeCell ref="N88:O88"/>
    <mergeCell ref="N89:O89"/>
    <mergeCell ref="A13:A15"/>
    <mergeCell ref="A18:A22"/>
    <mergeCell ref="A23:A30"/>
    <mergeCell ref="A31:A35"/>
    <mergeCell ref="A36:A38"/>
    <mergeCell ref="A40:A44"/>
    <mergeCell ref="A45:A47"/>
    <mergeCell ref="A48:A51"/>
    <mergeCell ref="A52:A54"/>
    <mergeCell ref="A55:A59"/>
    <mergeCell ref="A60:A63"/>
    <mergeCell ref="A65:A67"/>
    <mergeCell ref="A68:A71"/>
    <mergeCell ref="B13:B15"/>
    <mergeCell ref="B18:B22"/>
    <mergeCell ref="B23:B30"/>
    <mergeCell ref="B31:B35"/>
    <mergeCell ref="B36:B38"/>
    <mergeCell ref="B40:B44"/>
    <mergeCell ref="B45:B47"/>
    <mergeCell ref="B48:B51"/>
    <mergeCell ref="B52:B54"/>
    <mergeCell ref="B55:B59"/>
    <mergeCell ref="B60:B63"/>
    <mergeCell ref="B65:B67"/>
    <mergeCell ref="B68:B71"/>
    <mergeCell ref="B72:B76"/>
    <mergeCell ref="C13:C15"/>
    <mergeCell ref="C18:C22"/>
    <mergeCell ref="C23:C30"/>
    <mergeCell ref="C31:C35"/>
    <mergeCell ref="C36:C38"/>
    <mergeCell ref="C40:C44"/>
    <mergeCell ref="C45:C47"/>
    <mergeCell ref="C48:C51"/>
    <mergeCell ref="C52:C54"/>
    <mergeCell ref="C55:C59"/>
    <mergeCell ref="C60:C63"/>
    <mergeCell ref="C65:C67"/>
    <mergeCell ref="C68:C71"/>
    <mergeCell ref="D13:D15"/>
    <mergeCell ref="D18:D22"/>
    <mergeCell ref="D23:D30"/>
    <mergeCell ref="D31:D35"/>
    <mergeCell ref="D36:D38"/>
    <mergeCell ref="D40:D44"/>
    <mergeCell ref="D45:D47"/>
    <mergeCell ref="D48:D51"/>
    <mergeCell ref="D52:D54"/>
    <mergeCell ref="D55:D59"/>
    <mergeCell ref="D60:D63"/>
    <mergeCell ref="D65:D67"/>
    <mergeCell ref="D68:D71"/>
    <mergeCell ref="N13:N15"/>
    <mergeCell ref="O13:O15"/>
    <mergeCell ref="O45:O47"/>
    <mergeCell ref="O53:O54"/>
    <mergeCell ref="O56:O59"/>
    <mergeCell ref="P13:P15"/>
    <mergeCell ref="P85:P86"/>
  </mergeCells>
  <pageMargins left="0.393700787401575" right="0.393700787401575" top="0.393700787401575" bottom="0.393700787401575" header="0" footer="0"/>
  <pageSetup paperSize="9" scale="65" fitToHeight="0" orientation="landscape" blackAndWhite="1" horizontalDpi="600" verticalDpi="600"/>
  <headerFooter>
    <oddHeader>&amp;C&amp;A</oddHeader>
    <oddFooter>&amp;C&amp;D
&amp;T&amp;R&amp;F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01"/>
  <sheetViews>
    <sheetView topLeftCell="A11" workbookViewId="0">
      <selection activeCell="B64" sqref="B64:P64"/>
    </sheetView>
  </sheetViews>
  <sheetFormatPr defaultColWidth="39" defaultRowHeight="15"/>
  <cols>
    <col min="1" max="1" width="7.85714285714286" style="3" customWidth="1"/>
    <col min="2" max="2" width="38.4285714285714" style="3" customWidth="1"/>
    <col min="3" max="3" width="7.57142857142857" style="3" customWidth="1"/>
    <col min="4" max="4" width="8.57142857142857" style="3" customWidth="1"/>
    <col min="5" max="5" width="18" style="2" customWidth="1"/>
    <col min="6" max="7" width="15.4285714285714" style="2" customWidth="1"/>
    <col min="8" max="8" width="17.4190476190476" style="2" customWidth="1"/>
    <col min="9" max="9" width="17.1428571428571" style="2" customWidth="1"/>
    <col min="10" max="10" width="17.2857142857143" style="2" customWidth="1"/>
    <col min="11" max="13" width="7" style="3" customWidth="1"/>
    <col min="14" max="14" width="9.85714285714286" style="4" customWidth="1"/>
    <col min="15" max="15" width="11.1428571428571" style="5" customWidth="1"/>
    <col min="16" max="16" width="14.7142857142857" style="6" hidden="1" customWidth="1"/>
    <col min="17" max="17" width="39" style="7" hidden="1" customWidth="1"/>
    <col min="18" max="16384" width="39" style="8"/>
  </cols>
  <sheetData>
    <row r="1" ht="18.75" hidden="1" spans="6:13">
      <c r="F1" s="9">
        <v>2023</v>
      </c>
      <c r="G1" s="9">
        <v>2024</v>
      </c>
      <c r="H1" s="9">
        <v>2025</v>
      </c>
      <c r="I1" s="9">
        <v>2026</v>
      </c>
      <c r="J1" s="9">
        <v>2027</v>
      </c>
      <c r="K1" s="46">
        <v>2028</v>
      </c>
      <c r="L1" s="46">
        <v>2029</v>
      </c>
      <c r="M1" s="46">
        <v>2030</v>
      </c>
    </row>
    <row r="2" ht="18.75" spans="10:14">
      <c r="J2" s="47" t="s">
        <v>198</v>
      </c>
      <c r="K2" s="48"/>
      <c r="L2" s="48"/>
      <c r="M2" s="49"/>
      <c r="N2" s="5"/>
    </row>
    <row r="3" ht="18.75" spans="10:14">
      <c r="J3" s="50" t="s">
        <v>171</v>
      </c>
      <c r="K3" s="8"/>
      <c r="L3" s="8"/>
      <c r="M3" s="49"/>
      <c r="N3" s="5"/>
    </row>
    <row r="4" ht="18.75" spans="10:14">
      <c r="J4" s="50" t="s">
        <v>172</v>
      </c>
      <c r="K4" s="8"/>
      <c r="L4" s="8"/>
      <c r="M4" s="49"/>
      <c r="N4" s="5"/>
    </row>
    <row r="5" ht="18.75" spans="10:14">
      <c r="J5" s="50" t="s">
        <v>173</v>
      </c>
      <c r="K5" s="8"/>
      <c r="L5" s="8"/>
      <c r="M5" s="49"/>
      <c r="N5" s="5"/>
    </row>
    <row r="6" spans="11:14">
      <c r="K6" s="8"/>
      <c r="L6" s="8"/>
      <c r="M6" s="8"/>
      <c r="N6" s="49"/>
    </row>
    <row r="7" ht="18.75" spans="10:14">
      <c r="J7" s="50" t="s">
        <v>174</v>
      </c>
      <c r="K7" s="8"/>
      <c r="M7" s="8"/>
      <c r="N7" s="49"/>
    </row>
    <row r="8" ht="18.75" spans="10:14">
      <c r="J8" s="51" t="s">
        <v>175</v>
      </c>
      <c r="K8" s="8"/>
      <c r="M8" s="8"/>
      <c r="N8" s="49"/>
    </row>
    <row r="9" ht="18.75" spans="10:14">
      <c r="J9" s="51" t="s">
        <v>176</v>
      </c>
      <c r="K9" s="8"/>
      <c r="M9" s="8"/>
      <c r="N9" s="49"/>
    </row>
    <row r="10" ht="18.75" spans="10:17">
      <c r="J10" s="51" t="s">
        <v>177</v>
      </c>
      <c r="K10" s="52"/>
      <c r="M10" s="52"/>
      <c r="N10" s="53"/>
      <c r="O10" s="54"/>
      <c r="P10" s="55"/>
      <c r="Q10" s="77"/>
    </row>
    <row r="11" ht="18.75" spans="2:17">
      <c r="B11" s="10" t="s">
        <v>178</v>
      </c>
      <c r="C11" s="10"/>
      <c r="D11" s="10"/>
      <c r="E11" s="11"/>
      <c r="F11" s="11"/>
      <c r="G11" s="11"/>
      <c r="H11" s="11"/>
      <c r="K11" s="56"/>
      <c r="L11" s="52"/>
      <c r="M11" s="52"/>
      <c r="N11" s="53"/>
      <c r="O11" s="54"/>
      <c r="P11" s="55"/>
      <c r="Q11" s="77"/>
    </row>
    <row r="12" ht="18.75" spans="11:17">
      <c r="K12" s="56"/>
      <c r="L12" s="52"/>
      <c r="M12" s="52"/>
      <c r="N12" s="53"/>
      <c r="O12" s="54"/>
      <c r="P12" s="55"/>
      <c r="Q12" s="77"/>
    </row>
    <row r="13" spans="1:16">
      <c r="A13" s="12" t="s">
        <v>134</v>
      </c>
      <c r="B13" s="13" t="s">
        <v>179</v>
      </c>
      <c r="C13" s="14" t="s">
        <v>180</v>
      </c>
      <c r="D13" s="14" t="s">
        <v>181</v>
      </c>
      <c r="E13" s="15" t="s">
        <v>138</v>
      </c>
      <c r="F13" s="15"/>
      <c r="G13" s="15"/>
      <c r="H13" s="15"/>
      <c r="I13" s="15"/>
      <c r="J13" s="15"/>
      <c r="K13" s="57"/>
      <c r="L13" s="57"/>
      <c r="M13" s="57"/>
      <c r="N13" s="58" t="s">
        <v>139</v>
      </c>
      <c r="O13" s="58" t="s">
        <v>140</v>
      </c>
      <c r="P13" s="59" t="s">
        <v>199</v>
      </c>
    </row>
    <row r="14" spans="1:16">
      <c r="A14" s="12"/>
      <c r="B14" s="13"/>
      <c r="C14" s="14"/>
      <c r="D14" s="14"/>
      <c r="E14" s="15"/>
      <c r="F14" s="16" t="s">
        <v>183</v>
      </c>
      <c r="G14" s="15"/>
      <c r="H14" s="15"/>
      <c r="I14" s="15"/>
      <c r="J14" s="15"/>
      <c r="K14" s="57"/>
      <c r="L14" s="57"/>
      <c r="M14" s="57"/>
      <c r="N14" s="58"/>
      <c r="O14" s="58"/>
      <c r="P14" s="60"/>
    </row>
    <row r="15" ht="58.5" customHeight="1" spans="1:16">
      <c r="A15" s="12"/>
      <c r="B15" s="13"/>
      <c r="C15" s="14"/>
      <c r="D15" s="14"/>
      <c r="E15" s="17" t="s">
        <v>141</v>
      </c>
      <c r="F15" s="18">
        <v>2023</v>
      </c>
      <c r="G15" s="18">
        <v>2024</v>
      </c>
      <c r="H15" s="18">
        <v>2025</v>
      </c>
      <c r="I15" s="46">
        <v>2026</v>
      </c>
      <c r="J15" s="46">
        <v>2027</v>
      </c>
      <c r="K15" s="46">
        <v>2028</v>
      </c>
      <c r="L15" s="46">
        <v>2029</v>
      </c>
      <c r="M15" s="46">
        <v>2030</v>
      </c>
      <c r="N15" s="58"/>
      <c r="O15" s="58"/>
      <c r="P15" s="61"/>
    </row>
    <row r="16" spans="1:16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58">
        <v>14</v>
      </c>
      <c r="O16" s="58">
        <v>15</v>
      </c>
      <c r="P16" s="62"/>
    </row>
    <row r="17" s="1" customFormat="1" ht="18.75" spans="1:17">
      <c r="A17" s="20" t="s">
        <v>6</v>
      </c>
      <c r="B17" s="21" t="s">
        <v>7</v>
      </c>
      <c r="C17" s="21"/>
      <c r="D17" s="21"/>
      <c r="E17" s="22"/>
      <c r="F17" s="22"/>
      <c r="G17" s="22"/>
      <c r="H17" s="22"/>
      <c r="I17" s="22"/>
      <c r="J17" s="22"/>
      <c r="K17" s="21"/>
      <c r="L17" s="21"/>
      <c r="M17" s="21"/>
      <c r="N17" s="21"/>
      <c r="O17" s="21"/>
      <c r="P17" s="63"/>
      <c r="Q17" s="78"/>
    </row>
    <row r="18" s="1" customFormat="1" ht="15.75" customHeight="1" spans="1:18">
      <c r="A18" s="23" t="s">
        <v>8</v>
      </c>
      <c r="B18" s="24" t="s">
        <v>143</v>
      </c>
      <c r="C18" s="14" t="s">
        <v>144</v>
      </c>
      <c r="D18" s="14" t="s">
        <v>144</v>
      </c>
      <c r="E18" s="42">
        <f t="shared" ref="E18:E38" si="0">F18+G18+H18+I18+J18</f>
        <v>555383031.61</v>
      </c>
      <c r="F18" s="26">
        <f t="shared" ref="F18:M18" si="1">SUM(F19:F22)</f>
        <v>164564076.58</v>
      </c>
      <c r="G18" s="26">
        <f t="shared" si="1"/>
        <v>140943112.29</v>
      </c>
      <c r="H18" s="44">
        <f t="shared" si="1"/>
        <v>128561283.49</v>
      </c>
      <c r="I18" s="26">
        <f t="shared" si="1"/>
        <v>61196343.07</v>
      </c>
      <c r="J18" s="26">
        <f t="shared" si="1"/>
        <v>60118216.18</v>
      </c>
      <c r="K18" s="26">
        <f t="shared" si="1"/>
        <v>0</v>
      </c>
      <c r="L18" s="26">
        <f t="shared" si="1"/>
        <v>0</v>
      </c>
      <c r="M18" s="26">
        <f t="shared" si="1"/>
        <v>0</v>
      </c>
      <c r="N18" s="64" t="s">
        <v>144</v>
      </c>
      <c r="O18" s="65" t="s">
        <v>144</v>
      </c>
      <c r="P18" s="66">
        <f>SUM(P19:P22)</f>
        <v>0</v>
      </c>
      <c r="Q18" s="78"/>
      <c r="R18" s="44">
        <f>SUM(R19:R22)</f>
        <v>-672134.6</v>
      </c>
    </row>
    <row r="19" s="1" customFormat="1" ht="15.75" spans="1:18">
      <c r="A19" s="23"/>
      <c r="B19" s="24"/>
      <c r="C19" s="14"/>
      <c r="D19" s="14"/>
      <c r="E19" s="25">
        <f t="shared" si="0"/>
        <v>287638800.68</v>
      </c>
      <c r="F19" s="26">
        <f t="shared" ref="F19:M19" si="2">F24+F25+F32+F33</f>
        <v>141479117.43</v>
      </c>
      <c r="G19" s="26">
        <f t="shared" si="2"/>
        <v>36601639.06</v>
      </c>
      <c r="H19" s="26">
        <f t="shared" si="2"/>
        <v>36560478.15</v>
      </c>
      <c r="I19" s="26">
        <f t="shared" si="2"/>
        <v>37268682.78</v>
      </c>
      <c r="J19" s="26">
        <f t="shared" si="2"/>
        <v>35728883.26</v>
      </c>
      <c r="K19" s="26">
        <f t="shared" si="2"/>
        <v>0</v>
      </c>
      <c r="L19" s="26">
        <f t="shared" si="2"/>
        <v>0</v>
      </c>
      <c r="M19" s="26">
        <f t="shared" si="2"/>
        <v>0</v>
      </c>
      <c r="N19" s="64" t="s">
        <v>78</v>
      </c>
      <c r="O19" s="65"/>
      <c r="P19" s="66">
        <f>P24+P25+P32+P33</f>
        <v>0</v>
      </c>
      <c r="Q19" s="78"/>
      <c r="R19" s="26">
        <f>R24+R25+R32+R33</f>
        <v>0</v>
      </c>
    </row>
    <row r="20" s="1" customFormat="1" ht="15.75" spans="1:18">
      <c r="A20" s="23"/>
      <c r="B20" s="24"/>
      <c r="C20" s="14"/>
      <c r="D20" s="14"/>
      <c r="E20" s="25">
        <f t="shared" si="0"/>
        <v>3636635.95</v>
      </c>
      <c r="F20" s="26">
        <f t="shared" ref="F20:M20" si="3">F26+F27</f>
        <v>724063.62</v>
      </c>
      <c r="G20" s="26">
        <f t="shared" si="3"/>
        <v>746972.23</v>
      </c>
      <c r="H20" s="26">
        <f t="shared" si="3"/>
        <v>722679.7</v>
      </c>
      <c r="I20" s="26">
        <f t="shared" si="3"/>
        <v>736678.57</v>
      </c>
      <c r="J20" s="26">
        <f t="shared" si="3"/>
        <v>706241.83</v>
      </c>
      <c r="K20" s="26">
        <f t="shared" si="3"/>
        <v>0</v>
      </c>
      <c r="L20" s="26">
        <f t="shared" si="3"/>
        <v>0</v>
      </c>
      <c r="M20" s="26">
        <f t="shared" si="3"/>
        <v>0</v>
      </c>
      <c r="N20" s="64" t="s">
        <v>71</v>
      </c>
      <c r="O20" s="65"/>
      <c r="P20" s="66">
        <f>P26+P27</f>
        <v>0</v>
      </c>
      <c r="Q20" s="78"/>
      <c r="R20" s="26">
        <f>R26+R27</f>
        <v>0</v>
      </c>
    </row>
    <row r="21" s="1" customFormat="1" ht="15.75" spans="1:18">
      <c r="A21" s="23"/>
      <c r="B21" s="24"/>
      <c r="C21" s="14"/>
      <c r="D21" s="14"/>
      <c r="E21" s="25">
        <f t="shared" si="0"/>
        <v>931032.37</v>
      </c>
      <c r="F21" s="26">
        <f t="shared" ref="F21:M21" si="4">F28+F29</f>
        <v>181925.53</v>
      </c>
      <c r="G21" s="26">
        <f t="shared" si="4"/>
        <v>187681.47</v>
      </c>
      <c r="H21" s="26">
        <f t="shared" si="4"/>
        <v>187352.56</v>
      </c>
      <c r="I21" s="26">
        <f t="shared" si="4"/>
        <v>190981.72</v>
      </c>
      <c r="J21" s="26">
        <f t="shared" si="4"/>
        <v>183091.09</v>
      </c>
      <c r="K21" s="26">
        <f t="shared" si="4"/>
        <v>0</v>
      </c>
      <c r="L21" s="26">
        <f t="shared" si="4"/>
        <v>0</v>
      </c>
      <c r="M21" s="26">
        <f t="shared" si="4"/>
        <v>0</v>
      </c>
      <c r="N21" s="64" t="s">
        <v>16</v>
      </c>
      <c r="O21" s="65"/>
      <c r="P21" s="66">
        <f>P28+P29</f>
        <v>0</v>
      </c>
      <c r="Q21" s="78"/>
      <c r="R21" s="26">
        <f>R28+R29</f>
        <v>0</v>
      </c>
    </row>
    <row r="22" s="1" customFormat="1" ht="15.75" spans="1:18">
      <c r="A22" s="23"/>
      <c r="B22" s="24"/>
      <c r="C22" s="14"/>
      <c r="D22" s="14"/>
      <c r="E22" s="42">
        <f t="shared" si="0"/>
        <v>263176562.61</v>
      </c>
      <c r="F22" s="26">
        <f>F34+F35+F37+F38+F30</f>
        <v>22178970</v>
      </c>
      <c r="G22" s="26">
        <f>G34+G35+G37+G38+G30</f>
        <v>103406819.53</v>
      </c>
      <c r="H22" s="44">
        <f>H34+H35+H37+H38+H30</f>
        <v>91090773.08</v>
      </c>
      <c r="I22" s="26">
        <f>I34+I35+I37+I38+I30</f>
        <v>23000000</v>
      </c>
      <c r="J22" s="26">
        <f>J34+J35+J37+J38+J30</f>
        <v>23500000</v>
      </c>
      <c r="K22" s="26">
        <f>K34+K35+K37</f>
        <v>0</v>
      </c>
      <c r="L22" s="26">
        <f>L34+L35+L37</f>
        <v>0</v>
      </c>
      <c r="M22" s="26">
        <f>M34+M35+M37</f>
        <v>0</v>
      </c>
      <c r="N22" s="64" t="s">
        <v>73</v>
      </c>
      <c r="O22" s="65"/>
      <c r="P22" s="66"/>
      <c r="Q22" s="78"/>
      <c r="R22" s="44">
        <f>R34+R35+R37+R38+R30</f>
        <v>-672134.6</v>
      </c>
    </row>
    <row r="23" s="1" customFormat="1" ht="15.75" spans="1:18">
      <c r="A23" s="23" t="s">
        <v>11</v>
      </c>
      <c r="B23" s="27" t="s">
        <v>200</v>
      </c>
      <c r="C23" s="24" t="s">
        <v>145</v>
      </c>
      <c r="D23" s="24" t="s">
        <v>123</v>
      </c>
      <c r="E23" s="42">
        <f t="shared" si="0"/>
        <v>256956233.05</v>
      </c>
      <c r="F23" s="26">
        <f>F24+F25+F26+F27+F28+F30</f>
        <v>36385106.58</v>
      </c>
      <c r="G23" s="26">
        <f t="shared" ref="G23:M23" si="5">G24+G25+G26+G27+G28+G30+G29</f>
        <v>57319903.61</v>
      </c>
      <c r="H23" s="44">
        <f t="shared" si="5"/>
        <v>88436663.61</v>
      </c>
      <c r="I23" s="26">
        <f t="shared" si="5"/>
        <v>38196343.07</v>
      </c>
      <c r="J23" s="26">
        <f t="shared" si="5"/>
        <v>36618216.18</v>
      </c>
      <c r="K23" s="26">
        <f t="shared" si="5"/>
        <v>0</v>
      </c>
      <c r="L23" s="26">
        <f t="shared" si="5"/>
        <v>0</v>
      </c>
      <c r="M23" s="26">
        <f t="shared" si="5"/>
        <v>0</v>
      </c>
      <c r="N23" s="64" t="s">
        <v>144</v>
      </c>
      <c r="O23" s="65" t="s">
        <v>144</v>
      </c>
      <c r="P23" s="66"/>
      <c r="Q23" s="78"/>
      <c r="R23" s="26">
        <f>R24+R25+R26+R27+R28+R30+R29</f>
        <v>-672134.6</v>
      </c>
    </row>
    <row r="24" s="1" customFormat="1" ht="15.75" spans="1:17">
      <c r="A24" s="23"/>
      <c r="B24" s="27"/>
      <c r="C24" s="24"/>
      <c r="D24" s="24"/>
      <c r="E24" s="25">
        <f t="shared" si="0"/>
        <v>181638800.68</v>
      </c>
      <c r="F24" s="28">
        <v>35479117.43</v>
      </c>
      <c r="G24" s="29">
        <v>36601639.06</v>
      </c>
      <c r="H24" s="28">
        <v>36560478.15</v>
      </c>
      <c r="I24" s="28">
        <v>37268682.78</v>
      </c>
      <c r="J24" s="28">
        <v>35728883.26</v>
      </c>
      <c r="K24" s="67">
        <v>0</v>
      </c>
      <c r="L24" s="67">
        <v>0</v>
      </c>
      <c r="M24" s="67">
        <v>0</v>
      </c>
      <c r="N24" s="64" t="s">
        <v>78</v>
      </c>
      <c r="O24" s="65" t="s">
        <v>105</v>
      </c>
      <c r="P24" s="68"/>
      <c r="Q24" s="78"/>
    </row>
    <row r="25" s="1" customFormat="1" ht="15.75" spans="1:17">
      <c r="A25" s="23"/>
      <c r="B25" s="27"/>
      <c r="C25" s="24"/>
      <c r="D25" s="24"/>
      <c r="E25" s="25">
        <f t="shared" si="0"/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64" t="s">
        <v>78</v>
      </c>
      <c r="O25" s="65" t="s">
        <v>146</v>
      </c>
      <c r="P25" s="68"/>
      <c r="Q25" s="78"/>
    </row>
    <row r="26" s="1" customFormat="1" ht="15.75" spans="1:17">
      <c r="A26" s="23"/>
      <c r="B26" s="27"/>
      <c r="C26" s="24"/>
      <c r="D26" s="24"/>
      <c r="E26" s="25">
        <f t="shared" si="0"/>
        <v>3636635.95</v>
      </c>
      <c r="F26" s="28">
        <v>724063.62</v>
      </c>
      <c r="G26" s="29">
        <v>746972.23</v>
      </c>
      <c r="H26" s="28">
        <v>722679.7</v>
      </c>
      <c r="I26" s="28">
        <v>736678.57</v>
      </c>
      <c r="J26" s="28">
        <v>706241.83</v>
      </c>
      <c r="K26" s="28">
        <v>0</v>
      </c>
      <c r="L26" s="28">
        <v>0</v>
      </c>
      <c r="M26" s="28">
        <v>0</v>
      </c>
      <c r="N26" s="64" t="s">
        <v>71</v>
      </c>
      <c r="O26" s="65" t="s">
        <v>105</v>
      </c>
      <c r="P26" s="68"/>
      <c r="Q26" s="78"/>
    </row>
    <row r="27" s="1" customFormat="1" ht="15.75" spans="1:17">
      <c r="A27" s="23"/>
      <c r="B27" s="27"/>
      <c r="C27" s="24"/>
      <c r="D27" s="24"/>
      <c r="E27" s="25">
        <f t="shared" si="0"/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64" t="s">
        <v>71</v>
      </c>
      <c r="O27" s="65" t="s">
        <v>146</v>
      </c>
      <c r="P27" s="68"/>
      <c r="Q27" s="78"/>
    </row>
    <row r="28" s="1" customFormat="1" ht="15.75" spans="1:17">
      <c r="A28" s="23"/>
      <c r="B28" s="27"/>
      <c r="C28" s="24"/>
      <c r="D28" s="24"/>
      <c r="E28" s="25">
        <f t="shared" si="0"/>
        <v>931032.37</v>
      </c>
      <c r="F28" s="28">
        <v>181925.53</v>
      </c>
      <c r="G28" s="29">
        <v>187681.47</v>
      </c>
      <c r="H28" s="28">
        <v>187352.56</v>
      </c>
      <c r="I28" s="28">
        <v>190981.72</v>
      </c>
      <c r="J28" s="28">
        <v>183091.09</v>
      </c>
      <c r="K28" s="28">
        <v>0</v>
      </c>
      <c r="L28" s="28">
        <v>0</v>
      </c>
      <c r="M28" s="28">
        <v>0</v>
      </c>
      <c r="N28" s="64" t="s">
        <v>16</v>
      </c>
      <c r="O28" s="65" t="s">
        <v>105</v>
      </c>
      <c r="P28" s="68"/>
      <c r="Q28" s="78"/>
    </row>
    <row r="29" s="1" customFormat="1" ht="15.75" spans="1:17">
      <c r="A29" s="23"/>
      <c r="B29" s="27"/>
      <c r="C29" s="24"/>
      <c r="D29" s="24"/>
      <c r="E29" s="25">
        <f t="shared" si="0"/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64" t="s">
        <v>147</v>
      </c>
      <c r="O29" s="65" t="s">
        <v>146</v>
      </c>
      <c r="P29" s="68"/>
      <c r="Q29" s="78"/>
    </row>
    <row r="30" s="1" customFormat="1" ht="15.75" spans="1:18">
      <c r="A30" s="23"/>
      <c r="B30" s="27"/>
      <c r="C30" s="24"/>
      <c r="D30" s="24"/>
      <c r="E30" s="42">
        <f t="shared" si="0"/>
        <v>70749764.05</v>
      </c>
      <c r="F30" s="28">
        <v>0</v>
      </c>
      <c r="G30" s="29">
        <f>20893314.78+P30</f>
        <v>19783610.85</v>
      </c>
      <c r="H30" s="45">
        <f>51638287.8-672134.6</f>
        <v>50966153.2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64" t="s">
        <v>73</v>
      </c>
      <c r="O30" s="65" t="s">
        <v>105</v>
      </c>
      <c r="P30" s="68">
        <f>-572032.86+-537671.07</f>
        <v>-1109703.93</v>
      </c>
      <c r="Q30" s="78"/>
      <c r="R30" s="98">
        <f>-672134.6</f>
        <v>-672134.6</v>
      </c>
    </row>
    <row r="31" s="1" customFormat="1" ht="15.75" customHeight="1" spans="1:17">
      <c r="A31" s="23" t="s">
        <v>91</v>
      </c>
      <c r="B31" s="27" t="s">
        <v>148</v>
      </c>
      <c r="C31" s="24" t="s">
        <v>149</v>
      </c>
      <c r="D31" s="24" t="s">
        <v>150</v>
      </c>
      <c r="E31" s="25">
        <f t="shared" si="0"/>
        <v>211802178.68</v>
      </c>
      <c r="F31" s="28">
        <f t="shared" ref="F31:M31" si="6">F32+F33+F34+F35</f>
        <v>128178970</v>
      </c>
      <c r="G31" s="28">
        <f t="shared" si="6"/>
        <v>83623208.68</v>
      </c>
      <c r="H31" s="28">
        <f t="shared" si="6"/>
        <v>0</v>
      </c>
      <c r="I31" s="28">
        <f t="shared" si="6"/>
        <v>0</v>
      </c>
      <c r="J31" s="28">
        <f t="shared" si="6"/>
        <v>0</v>
      </c>
      <c r="K31" s="28">
        <f t="shared" si="6"/>
        <v>0</v>
      </c>
      <c r="L31" s="28">
        <f t="shared" si="6"/>
        <v>0</v>
      </c>
      <c r="M31" s="28">
        <f t="shared" si="6"/>
        <v>0</v>
      </c>
      <c r="N31" s="64" t="s">
        <v>144</v>
      </c>
      <c r="O31" s="65" t="s">
        <v>144</v>
      </c>
      <c r="P31" s="69">
        <f>P32+P33+P34+P35</f>
        <v>0</v>
      </c>
      <c r="Q31" s="78"/>
    </row>
    <row r="32" s="1" customFormat="1" ht="15.75" spans="1:17">
      <c r="A32" s="23"/>
      <c r="B32" s="27"/>
      <c r="C32" s="24"/>
      <c r="D32" s="24"/>
      <c r="E32" s="25">
        <f t="shared" si="0"/>
        <v>63133615.4</v>
      </c>
      <c r="F32" s="28">
        <f>106000000-37799322.82-5067061.78</f>
        <v>63133615.4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64" t="s">
        <v>78</v>
      </c>
      <c r="O32" s="65" t="s">
        <v>151</v>
      </c>
      <c r="P32" s="68"/>
      <c r="Q32" s="78"/>
    </row>
    <row r="33" s="1" customFormat="1" ht="18.75" customHeight="1" spans="1:17">
      <c r="A33" s="23"/>
      <c r="B33" s="27"/>
      <c r="C33" s="24"/>
      <c r="D33" s="24"/>
      <c r="E33" s="25">
        <f t="shared" si="0"/>
        <v>42866384.6</v>
      </c>
      <c r="F33" s="28">
        <f>37799322.82+5067061.78</f>
        <v>42866384.6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64" t="s">
        <v>78</v>
      </c>
      <c r="O33" s="65" t="s">
        <v>152</v>
      </c>
      <c r="P33" s="68"/>
      <c r="Q33" s="78"/>
    </row>
    <row r="34" s="1" customFormat="1" ht="19.5" customHeight="1" spans="1:17">
      <c r="A34" s="23"/>
      <c r="B34" s="27"/>
      <c r="C34" s="24"/>
      <c r="D34" s="24"/>
      <c r="E34" s="25">
        <f t="shared" si="0"/>
        <v>66379321.57</v>
      </c>
      <c r="F34" s="28">
        <f>(22776970-598000)-1422857.11</f>
        <v>20756112.89</v>
      </c>
      <c r="G34" s="28">
        <f>33623208.68+12000000</f>
        <v>45623208.68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64" t="s">
        <v>73</v>
      </c>
      <c r="O34" s="65" t="s">
        <v>151</v>
      </c>
      <c r="P34" s="68"/>
      <c r="Q34" s="78"/>
    </row>
    <row r="35" s="1" customFormat="1" ht="16.5" customHeight="1" spans="1:17">
      <c r="A35" s="23"/>
      <c r="B35" s="27"/>
      <c r="C35" s="24"/>
      <c r="D35" s="24"/>
      <c r="E35" s="25">
        <f t="shared" si="0"/>
        <v>39422857.11</v>
      </c>
      <c r="F35" s="28">
        <v>1422857.11</v>
      </c>
      <c r="G35" s="28">
        <v>38000000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64" t="s">
        <v>73</v>
      </c>
      <c r="O35" s="65" t="s">
        <v>152</v>
      </c>
      <c r="P35" s="68"/>
      <c r="Q35" s="78"/>
    </row>
    <row r="36" s="1" customFormat="1" ht="15.75" customHeight="1" spans="1:17">
      <c r="A36" s="30" t="s">
        <v>201</v>
      </c>
      <c r="B36" s="31" t="s">
        <v>202</v>
      </c>
      <c r="C36" s="32" t="s">
        <v>149</v>
      </c>
      <c r="D36" s="32" t="s">
        <v>203</v>
      </c>
      <c r="E36" s="25">
        <f t="shared" si="0"/>
        <v>86624619.88</v>
      </c>
      <c r="F36" s="28">
        <f t="shared" ref="F36:M36" si="7">F37+F38</f>
        <v>0</v>
      </c>
      <c r="G36" s="28">
        <f t="shared" si="7"/>
        <v>0</v>
      </c>
      <c r="H36" s="28">
        <f t="shared" si="7"/>
        <v>40124619.88</v>
      </c>
      <c r="I36" s="28">
        <f t="shared" si="7"/>
        <v>23000000</v>
      </c>
      <c r="J36" s="28">
        <f t="shared" si="7"/>
        <v>23500000</v>
      </c>
      <c r="K36" s="28">
        <f t="shared" si="7"/>
        <v>0</v>
      </c>
      <c r="L36" s="28">
        <f t="shared" si="7"/>
        <v>0</v>
      </c>
      <c r="M36" s="28">
        <f t="shared" si="7"/>
        <v>0</v>
      </c>
      <c r="N36" s="64" t="s">
        <v>144</v>
      </c>
      <c r="O36" s="65" t="s">
        <v>144</v>
      </c>
      <c r="P36" s="69" t="e">
        <f>#REF!+#REF!+P37+#REF!</f>
        <v>#REF!</v>
      </c>
      <c r="Q36" s="78"/>
    </row>
    <row r="37" s="1" customFormat="1" ht="19.5" customHeight="1" spans="1:17">
      <c r="A37" s="33"/>
      <c r="B37" s="34"/>
      <c r="C37" s="35"/>
      <c r="D37" s="35"/>
      <c r="E37" s="25">
        <f t="shared" si="0"/>
        <v>86624619.88</v>
      </c>
      <c r="F37" s="28">
        <v>0</v>
      </c>
      <c r="G37" s="28">
        <v>0</v>
      </c>
      <c r="H37" s="28">
        <f>7343359.2+4656640.8+28124619.88</f>
        <v>40124619.88</v>
      </c>
      <c r="I37" s="28">
        <v>23000000</v>
      </c>
      <c r="J37" s="28">
        <v>23500000</v>
      </c>
      <c r="K37" s="28">
        <v>0</v>
      </c>
      <c r="L37" s="28">
        <v>0</v>
      </c>
      <c r="M37" s="28">
        <v>0</v>
      </c>
      <c r="N37" s="64" t="s">
        <v>73</v>
      </c>
      <c r="O37" s="65" t="s">
        <v>151</v>
      </c>
      <c r="P37" s="68"/>
      <c r="Q37" s="78"/>
    </row>
    <row r="38" s="1" customFormat="1" ht="19.5" customHeight="1" spans="1:17">
      <c r="A38" s="36"/>
      <c r="B38" s="37"/>
      <c r="C38" s="38"/>
      <c r="D38" s="38"/>
      <c r="E38" s="25">
        <f t="shared" si="0"/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64" t="s">
        <v>73</v>
      </c>
      <c r="O38" s="65" t="s">
        <v>152</v>
      </c>
      <c r="P38" s="68"/>
      <c r="Q38" s="78"/>
    </row>
    <row r="39" ht="18.75" spans="1:16">
      <c r="A39" s="39" t="s">
        <v>36</v>
      </c>
      <c r="B39" s="39" t="s">
        <v>37</v>
      </c>
      <c r="C39" s="39"/>
      <c r="D39" s="39"/>
      <c r="E39" s="40"/>
      <c r="F39" s="40"/>
      <c r="G39" s="40"/>
      <c r="H39" s="40"/>
      <c r="I39" s="40"/>
      <c r="J39" s="40"/>
      <c r="K39" s="39"/>
      <c r="L39" s="39"/>
      <c r="M39" s="39"/>
      <c r="N39" s="39"/>
      <c r="O39" s="39"/>
      <c r="P39" s="70"/>
    </row>
    <row r="40" spans="1:18">
      <c r="A40" s="41" t="s">
        <v>38</v>
      </c>
      <c r="B40" s="24" t="s">
        <v>153</v>
      </c>
      <c r="C40" s="14" t="s">
        <v>144</v>
      </c>
      <c r="D40" s="14" t="s">
        <v>144</v>
      </c>
      <c r="E40" s="42">
        <f t="shared" ref="E40:E63" si="8">F40+G40+H40+I40+J40+K40+L40+M40</f>
        <v>462103987.12</v>
      </c>
      <c r="F40" s="116">
        <f t="shared" ref="F40:M40" si="9">F41+F42+F43+F44</f>
        <v>138310399.39</v>
      </c>
      <c r="G40" s="116">
        <f t="shared" si="9"/>
        <v>141966454.14</v>
      </c>
      <c r="H40" s="42">
        <f t="shared" si="9"/>
        <v>18485980.06</v>
      </c>
      <c r="I40" s="25">
        <f t="shared" si="9"/>
        <v>80819841.59</v>
      </c>
      <c r="J40" s="25">
        <f t="shared" si="9"/>
        <v>82521311.94</v>
      </c>
      <c r="K40" s="25">
        <f t="shared" si="9"/>
        <v>0</v>
      </c>
      <c r="L40" s="25">
        <f t="shared" si="9"/>
        <v>0</v>
      </c>
      <c r="M40" s="25">
        <f t="shared" si="9"/>
        <v>0</v>
      </c>
      <c r="N40" s="64" t="s">
        <v>144</v>
      </c>
      <c r="O40" s="65" t="s">
        <v>144</v>
      </c>
      <c r="P40" s="71">
        <f>P41+P42+P43+P44</f>
        <v>1118935.41</v>
      </c>
      <c r="R40" s="117">
        <f>R41+R42+R43+R44</f>
        <v>672134.6</v>
      </c>
    </row>
    <row r="41" spans="1:18">
      <c r="A41" s="41"/>
      <c r="B41" s="24"/>
      <c r="C41" s="14"/>
      <c r="D41" s="14"/>
      <c r="E41" s="116">
        <f t="shared" si="8"/>
        <v>105382544.87</v>
      </c>
      <c r="F41" s="116">
        <f>F53+F56</f>
        <v>84818282.07</v>
      </c>
      <c r="G41" s="116">
        <f>G53+G56</f>
        <v>20564262.8</v>
      </c>
      <c r="H41" s="116">
        <f>H53+H56</f>
        <v>0</v>
      </c>
      <c r="I41" s="25">
        <f>I53+I56</f>
        <v>0</v>
      </c>
      <c r="J41" s="25">
        <f>J53</f>
        <v>0</v>
      </c>
      <c r="K41" s="25">
        <f>K53</f>
        <v>0</v>
      </c>
      <c r="L41" s="25">
        <f>L53</f>
        <v>0</v>
      </c>
      <c r="M41" s="25">
        <f>M53</f>
        <v>0</v>
      </c>
      <c r="N41" s="25" t="s">
        <v>14</v>
      </c>
      <c r="O41" s="72"/>
      <c r="P41" s="71">
        <f>P53+P56</f>
        <v>0</v>
      </c>
      <c r="R41" s="116">
        <f>R53+R56</f>
        <v>0</v>
      </c>
    </row>
    <row r="42" spans="1:18">
      <c r="A42" s="41"/>
      <c r="B42" s="24"/>
      <c r="C42" s="14"/>
      <c r="D42" s="14"/>
      <c r="E42" s="117">
        <f t="shared" si="8"/>
        <v>267890633.24</v>
      </c>
      <c r="F42" s="116">
        <f>F46+F57</f>
        <v>32086740.83</v>
      </c>
      <c r="G42" s="116">
        <f>G46+G57</f>
        <v>78013399.73</v>
      </c>
      <c r="H42" s="117">
        <f>H46+H57</f>
        <v>1000000</v>
      </c>
      <c r="I42" s="25">
        <f>I46+I57</f>
        <v>78395246.34</v>
      </c>
      <c r="J42" s="25">
        <f>J46</f>
        <v>78395246.34</v>
      </c>
      <c r="K42" s="25">
        <f>K46</f>
        <v>0</v>
      </c>
      <c r="L42" s="25">
        <f>L46</f>
        <v>0</v>
      </c>
      <c r="M42" s="25">
        <f>M46</f>
        <v>0</v>
      </c>
      <c r="N42" s="64" t="s">
        <v>15</v>
      </c>
      <c r="O42" s="72"/>
      <c r="P42" s="71">
        <f>P46+P57</f>
        <v>0</v>
      </c>
      <c r="R42" s="117">
        <f>R46+R57</f>
        <v>0</v>
      </c>
    </row>
    <row r="43" spans="1:18">
      <c r="A43" s="41"/>
      <c r="B43" s="24"/>
      <c r="C43" s="14"/>
      <c r="D43" s="14"/>
      <c r="E43" s="42">
        <f t="shared" si="8"/>
        <v>11042477.26</v>
      </c>
      <c r="F43" s="116">
        <f>F47+F54+F59</f>
        <v>1849123.76</v>
      </c>
      <c r="G43" s="116">
        <f>G47+G54+G58</f>
        <v>2611764.81</v>
      </c>
      <c r="H43" s="42">
        <f>H47+H54+H58</f>
        <v>30927.84</v>
      </c>
      <c r="I43" s="25">
        <f>I47+I54+I59</f>
        <v>2424595.25</v>
      </c>
      <c r="J43" s="25">
        <f>J47+J54</f>
        <v>4126065.6</v>
      </c>
      <c r="K43" s="25">
        <f>K47+K54</f>
        <v>0</v>
      </c>
      <c r="L43" s="25">
        <f>L47+L54</f>
        <v>0</v>
      </c>
      <c r="M43" s="25">
        <f>M47+M54</f>
        <v>0</v>
      </c>
      <c r="N43" s="64" t="s">
        <v>16</v>
      </c>
      <c r="O43" s="73"/>
      <c r="P43" s="71">
        <f>P47+P54+P58</f>
        <v>0</v>
      </c>
      <c r="R43" s="117">
        <f>R47+R54+R58</f>
        <v>-153938.5</v>
      </c>
    </row>
    <row r="44" spans="1:18">
      <c r="A44" s="41"/>
      <c r="B44" s="24"/>
      <c r="C44" s="14"/>
      <c r="D44" s="14"/>
      <c r="E44" s="42">
        <f t="shared" si="8"/>
        <v>77788331.75</v>
      </c>
      <c r="F44" s="116">
        <f>F60+F59</f>
        <v>19556252.73</v>
      </c>
      <c r="G44" s="116">
        <f>G60+G59</f>
        <v>40777026.8</v>
      </c>
      <c r="H44" s="42">
        <f>+H62+H63+H61+H59</f>
        <v>17455052.22</v>
      </c>
      <c r="I44" s="25">
        <f>I60+I59</f>
        <v>0</v>
      </c>
      <c r="J44" s="25">
        <f>J60+J59</f>
        <v>0</v>
      </c>
      <c r="K44" s="25">
        <f>K60+K59</f>
        <v>0</v>
      </c>
      <c r="L44" s="25">
        <f>L60+L59</f>
        <v>0</v>
      </c>
      <c r="M44" s="25">
        <f>M60+M59</f>
        <v>0</v>
      </c>
      <c r="N44" s="25" t="s">
        <v>17</v>
      </c>
      <c r="O44" s="73"/>
      <c r="P44" s="71">
        <f>P60+P59</f>
        <v>1118935.41</v>
      </c>
      <c r="R44" s="117">
        <f>+R62+R63+R61+R59</f>
        <v>826073.1</v>
      </c>
    </row>
    <row r="45" ht="15.75" spans="1:16">
      <c r="A45" s="43" t="s">
        <v>40</v>
      </c>
      <c r="B45" s="27" t="s">
        <v>81</v>
      </c>
      <c r="C45" s="24" t="s">
        <v>154</v>
      </c>
      <c r="D45" s="14" t="s">
        <v>144</v>
      </c>
      <c r="E45" s="117">
        <f t="shared" si="8"/>
        <v>277444722.32</v>
      </c>
      <c r="F45" s="118">
        <f t="shared" ref="F45:M45" si="10">SUM(F46:F47)</f>
        <v>33079114.26</v>
      </c>
      <c r="G45" s="118">
        <f t="shared" si="10"/>
        <v>79993526.69</v>
      </c>
      <c r="H45" s="119">
        <f t="shared" si="10"/>
        <v>1030927.84</v>
      </c>
      <c r="I45" s="26">
        <f t="shared" si="10"/>
        <v>80819841.59</v>
      </c>
      <c r="J45" s="26">
        <f t="shared" si="10"/>
        <v>82521311.94</v>
      </c>
      <c r="K45" s="26">
        <f t="shared" si="10"/>
        <v>0</v>
      </c>
      <c r="L45" s="26">
        <f t="shared" si="10"/>
        <v>0</v>
      </c>
      <c r="M45" s="26">
        <f t="shared" si="10"/>
        <v>0</v>
      </c>
      <c r="N45" s="64" t="s">
        <v>144</v>
      </c>
      <c r="O45" s="74" t="s">
        <v>155</v>
      </c>
      <c r="P45" s="66">
        <f>SUM(P46:P47)</f>
        <v>0</v>
      </c>
    </row>
    <row r="46" ht="15.75" spans="1:16">
      <c r="A46" s="43"/>
      <c r="B46" s="27"/>
      <c r="C46" s="24"/>
      <c r="D46" s="14"/>
      <c r="E46" s="117">
        <f t="shared" si="8"/>
        <v>267470954.4</v>
      </c>
      <c r="F46" s="120">
        <f t="shared" ref="F46:M46" si="11">F48+F49</f>
        <v>32086740.83</v>
      </c>
      <c r="G46" s="120">
        <f t="shared" si="11"/>
        <v>77593720.89</v>
      </c>
      <c r="H46" s="121">
        <f t="shared" si="11"/>
        <v>1000000</v>
      </c>
      <c r="I46" s="28">
        <f t="shared" si="11"/>
        <v>78395246.34</v>
      </c>
      <c r="J46" s="28">
        <f t="shared" si="11"/>
        <v>78395246.34</v>
      </c>
      <c r="K46" s="28">
        <f t="shared" si="11"/>
        <v>0</v>
      </c>
      <c r="L46" s="28">
        <f t="shared" si="11"/>
        <v>0</v>
      </c>
      <c r="M46" s="28">
        <f t="shared" si="11"/>
        <v>0</v>
      </c>
      <c r="N46" s="64" t="s">
        <v>15</v>
      </c>
      <c r="O46" s="74"/>
      <c r="P46" s="69">
        <f>P48+P49</f>
        <v>0</v>
      </c>
    </row>
    <row r="47" ht="19.5" customHeight="1" spans="1:16">
      <c r="A47" s="43"/>
      <c r="B47" s="27"/>
      <c r="C47" s="24"/>
      <c r="D47" s="14"/>
      <c r="E47" s="117">
        <f t="shared" si="8"/>
        <v>9973767.92</v>
      </c>
      <c r="F47" s="120">
        <f t="shared" ref="F47:M47" si="12">F50+F51</f>
        <v>992373.43</v>
      </c>
      <c r="G47" s="120">
        <f t="shared" si="12"/>
        <v>2399805.8</v>
      </c>
      <c r="H47" s="121">
        <f t="shared" si="12"/>
        <v>30927.84</v>
      </c>
      <c r="I47" s="28">
        <f t="shared" si="12"/>
        <v>2424595.25</v>
      </c>
      <c r="J47" s="28">
        <f t="shared" si="12"/>
        <v>4126065.6</v>
      </c>
      <c r="K47" s="28">
        <f t="shared" si="12"/>
        <v>0</v>
      </c>
      <c r="L47" s="28">
        <f t="shared" si="12"/>
        <v>0</v>
      </c>
      <c r="M47" s="28">
        <f t="shared" si="12"/>
        <v>0</v>
      </c>
      <c r="N47" s="64" t="s">
        <v>16</v>
      </c>
      <c r="O47" s="74"/>
      <c r="P47" s="69">
        <f>P50+P51</f>
        <v>0</v>
      </c>
    </row>
    <row r="48" ht="15.75" customHeight="1" spans="1:16">
      <c r="A48" s="43" t="s">
        <v>42</v>
      </c>
      <c r="B48" s="27" t="s">
        <v>156</v>
      </c>
      <c r="C48" s="24" t="s">
        <v>154</v>
      </c>
      <c r="D48" s="24" t="s">
        <v>157</v>
      </c>
      <c r="E48" s="116">
        <f t="shared" si="8"/>
        <v>255785646.43</v>
      </c>
      <c r="F48" s="120">
        <f>26400000-3212200.47</f>
        <v>23187799.53</v>
      </c>
      <c r="G48" s="120">
        <v>75807354.22</v>
      </c>
      <c r="H48" s="120">
        <v>0</v>
      </c>
      <c r="I48" s="28">
        <v>78395246.34</v>
      </c>
      <c r="J48" s="28">
        <v>78395246.34</v>
      </c>
      <c r="K48" s="28">
        <v>0</v>
      </c>
      <c r="L48" s="28">
        <v>0</v>
      </c>
      <c r="M48" s="28">
        <v>0</v>
      </c>
      <c r="N48" s="64" t="s">
        <v>71</v>
      </c>
      <c r="O48" s="72" t="s">
        <v>105</v>
      </c>
      <c r="P48" s="68">
        <v>0</v>
      </c>
    </row>
    <row r="49" ht="15.75" spans="1:16">
      <c r="A49" s="43"/>
      <c r="B49" s="27"/>
      <c r="C49" s="24"/>
      <c r="D49" s="24"/>
      <c r="E49" s="117">
        <f t="shared" si="8"/>
        <v>11685307.97</v>
      </c>
      <c r="F49" s="120">
        <f>5686740.83+3212200.47</f>
        <v>8898941.3</v>
      </c>
      <c r="G49" s="120">
        <v>1786366.67</v>
      </c>
      <c r="H49" s="121">
        <v>1000000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64" t="s">
        <v>71</v>
      </c>
      <c r="O49" s="72" t="s">
        <v>146</v>
      </c>
      <c r="P49" s="68">
        <v>0</v>
      </c>
    </row>
    <row r="50" ht="15.75" spans="1:16">
      <c r="A50" s="43"/>
      <c r="B50" s="27"/>
      <c r="C50" s="24"/>
      <c r="D50" s="24"/>
      <c r="E50" s="116">
        <f t="shared" si="8"/>
        <v>9612366.64</v>
      </c>
      <c r="F50" s="120">
        <f>816494.85-99346.41</f>
        <v>717148.44</v>
      </c>
      <c r="G50" s="120">
        <f>(2375317.99+24487.81)-55248.45</f>
        <v>2344557.35</v>
      </c>
      <c r="H50" s="120">
        <v>0</v>
      </c>
      <c r="I50" s="28">
        <v>2424595.25</v>
      </c>
      <c r="J50" s="28">
        <v>4126065.6</v>
      </c>
      <c r="K50" s="28">
        <v>0</v>
      </c>
      <c r="L50" s="28">
        <v>0</v>
      </c>
      <c r="M50" s="28">
        <v>0</v>
      </c>
      <c r="N50" s="64" t="s">
        <v>147</v>
      </c>
      <c r="O50" s="72" t="s">
        <v>105</v>
      </c>
      <c r="P50" s="68">
        <v>0</v>
      </c>
    </row>
    <row r="51" ht="15.75" customHeight="1" spans="1:16">
      <c r="A51" s="43"/>
      <c r="B51" s="27"/>
      <c r="C51" s="24"/>
      <c r="D51" s="24"/>
      <c r="E51" s="117">
        <f t="shared" si="8"/>
        <v>361401.28</v>
      </c>
      <c r="F51" s="120">
        <f>175878.58+99346.41</f>
        <v>275224.99</v>
      </c>
      <c r="G51" s="120">
        <v>55248.45</v>
      </c>
      <c r="H51" s="121">
        <v>30927.84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64" t="s">
        <v>147</v>
      </c>
      <c r="O51" s="72" t="s">
        <v>146</v>
      </c>
      <c r="P51" s="68">
        <v>0</v>
      </c>
    </row>
    <row r="52" ht="30" customHeight="1" spans="1:16">
      <c r="A52" s="43" t="s">
        <v>48</v>
      </c>
      <c r="B52" s="27" t="s">
        <v>184</v>
      </c>
      <c r="C52" s="24" t="s">
        <v>158</v>
      </c>
      <c r="D52" s="24">
        <v>2023</v>
      </c>
      <c r="E52" s="25">
        <f t="shared" si="8"/>
        <v>85675032.4</v>
      </c>
      <c r="F52" s="26">
        <f t="shared" ref="F52:M52" si="13">SUM(F53:F54)</f>
        <v>85675032.4</v>
      </c>
      <c r="G52" s="26">
        <f t="shared" si="13"/>
        <v>0</v>
      </c>
      <c r="H52" s="26">
        <f t="shared" si="13"/>
        <v>0</v>
      </c>
      <c r="I52" s="26">
        <f t="shared" si="13"/>
        <v>0</v>
      </c>
      <c r="J52" s="26">
        <f t="shared" si="13"/>
        <v>0</v>
      </c>
      <c r="K52" s="26">
        <f t="shared" si="13"/>
        <v>0</v>
      </c>
      <c r="L52" s="26">
        <f t="shared" si="13"/>
        <v>0</v>
      </c>
      <c r="M52" s="26">
        <f t="shared" si="13"/>
        <v>0</v>
      </c>
      <c r="N52" s="64" t="s">
        <v>144</v>
      </c>
      <c r="O52" s="65" t="s">
        <v>144</v>
      </c>
      <c r="P52" s="66">
        <f>SUM(P53:P54)</f>
        <v>0</v>
      </c>
    </row>
    <row r="53" ht="19.5" customHeight="1" spans="1:16">
      <c r="A53" s="43"/>
      <c r="B53" s="27"/>
      <c r="C53" s="24"/>
      <c r="D53" s="24"/>
      <c r="E53" s="25">
        <f t="shared" si="8"/>
        <v>84818282.07</v>
      </c>
      <c r="F53" s="28">
        <v>84818282.07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64" t="s">
        <v>78</v>
      </c>
      <c r="O53" s="75" t="s">
        <v>105</v>
      </c>
      <c r="P53" s="68">
        <v>0</v>
      </c>
    </row>
    <row r="54" ht="15.75" spans="1:16">
      <c r="A54" s="43"/>
      <c r="B54" s="27"/>
      <c r="C54" s="24"/>
      <c r="D54" s="24"/>
      <c r="E54" s="25">
        <f t="shared" si="8"/>
        <v>856750.33</v>
      </c>
      <c r="F54" s="28">
        <v>856750.33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64" t="s">
        <v>147</v>
      </c>
      <c r="O54" s="75"/>
      <c r="P54" s="68">
        <v>0</v>
      </c>
    </row>
    <row r="55" ht="23.25" customHeight="1" spans="1:18">
      <c r="A55" s="43" t="s">
        <v>83</v>
      </c>
      <c r="B55" s="27" t="s">
        <v>127</v>
      </c>
      <c r="C55" s="24" t="s">
        <v>159</v>
      </c>
      <c r="D55" s="24">
        <v>2024</v>
      </c>
      <c r="E55" s="42">
        <f t="shared" si="8"/>
        <v>48894475.6</v>
      </c>
      <c r="F55" s="26">
        <f t="shared" ref="F55:M55" si="14">SUM(F56:F59)</f>
        <v>0</v>
      </c>
      <c r="G55" s="26">
        <f t="shared" si="14"/>
        <v>48894475.6</v>
      </c>
      <c r="H55" s="44">
        <f t="shared" si="14"/>
        <v>0</v>
      </c>
      <c r="I55" s="26">
        <f t="shared" si="14"/>
        <v>0</v>
      </c>
      <c r="J55" s="26">
        <f t="shared" si="14"/>
        <v>0</v>
      </c>
      <c r="K55" s="26">
        <f t="shared" si="14"/>
        <v>0</v>
      </c>
      <c r="L55" s="26">
        <f t="shared" si="14"/>
        <v>0</v>
      </c>
      <c r="M55" s="26">
        <f t="shared" si="14"/>
        <v>0</v>
      </c>
      <c r="N55" s="64" t="s">
        <v>144</v>
      </c>
      <c r="O55" s="65" t="s">
        <v>144</v>
      </c>
      <c r="P55" s="66">
        <f>SUM(P56:P59)</f>
        <v>1118935.41</v>
      </c>
      <c r="R55" s="44">
        <f>SUM(R56:R59)</f>
        <v>-2594270.6</v>
      </c>
    </row>
    <row r="56" ht="15.75" spans="1:16">
      <c r="A56" s="43"/>
      <c r="B56" s="27"/>
      <c r="C56" s="24"/>
      <c r="D56" s="24"/>
      <c r="E56" s="25">
        <f t="shared" si="8"/>
        <v>20564262.8</v>
      </c>
      <c r="F56" s="28">
        <v>0</v>
      </c>
      <c r="G56" s="28">
        <v>20564262.8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64" t="s">
        <v>78</v>
      </c>
      <c r="O56" s="76" t="s">
        <v>105</v>
      </c>
      <c r="P56" s="68"/>
    </row>
    <row r="57" ht="15.75" spans="1:16">
      <c r="A57" s="43"/>
      <c r="B57" s="27"/>
      <c r="C57" s="24"/>
      <c r="D57" s="24"/>
      <c r="E57" s="25">
        <f t="shared" si="8"/>
        <v>419678.84</v>
      </c>
      <c r="F57" s="28">
        <v>0</v>
      </c>
      <c r="G57" s="28">
        <v>419678.84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64" t="s">
        <v>71</v>
      </c>
      <c r="O57" s="76"/>
      <c r="P57" s="68"/>
    </row>
    <row r="58" ht="15.75" spans="1:18">
      <c r="A58" s="43"/>
      <c r="B58" s="27"/>
      <c r="C58" s="24"/>
      <c r="D58" s="24"/>
      <c r="E58" s="42">
        <f t="shared" si="8"/>
        <v>211959.01</v>
      </c>
      <c r="F58" s="28">
        <v>0</v>
      </c>
      <c r="G58" s="28">
        <v>211959.01</v>
      </c>
      <c r="H58" s="122">
        <f>153938.5+R58</f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64" t="s">
        <v>147</v>
      </c>
      <c r="O58" s="76"/>
      <c r="P58" s="68"/>
      <c r="R58" s="3">
        <v>-153938.5</v>
      </c>
    </row>
    <row r="59" ht="15.75" spans="1:18">
      <c r="A59" s="43"/>
      <c r="B59" s="27"/>
      <c r="C59" s="24"/>
      <c r="D59" s="24"/>
      <c r="E59" s="42">
        <f t="shared" si="8"/>
        <v>27698574.95</v>
      </c>
      <c r="F59" s="28">
        <v>0</v>
      </c>
      <c r="G59" s="28">
        <f>26579639.54+P59</f>
        <v>27698574.95</v>
      </c>
      <c r="H59" s="45">
        <f>2440332.1+R59</f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64" t="s">
        <v>73</v>
      </c>
      <c r="O59" s="76"/>
      <c r="P59" s="68">
        <f>9231.48+572032.86+537671.07</f>
        <v>1118935.41</v>
      </c>
      <c r="R59" s="3">
        <v>-2440332.1</v>
      </c>
    </row>
    <row r="60" s="1" customFormat="1" ht="15.75" spans="1:18">
      <c r="A60" s="43" t="s">
        <v>128</v>
      </c>
      <c r="B60" s="123" t="s">
        <v>129</v>
      </c>
      <c r="C60" s="124" t="s">
        <v>145</v>
      </c>
      <c r="D60" s="124" t="s">
        <v>123</v>
      </c>
      <c r="E60" s="42">
        <f t="shared" si="8"/>
        <v>50089756.8</v>
      </c>
      <c r="F60" s="118">
        <f t="shared" ref="F60:M60" si="15">F62+F61+F63</f>
        <v>19556252.73</v>
      </c>
      <c r="G60" s="118">
        <f t="shared" si="15"/>
        <v>13078451.85</v>
      </c>
      <c r="H60" s="44">
        <f t="shared" si="15"/>
        <v>17455052.22</v>
      </c>
      <c r="I60" s="118">
        <f t="shared" si="15"/>
        <v>0</v>
      </c>
      <c r="J60" s="118">
        <f t="shared" si="15"/>
        <v>0</v>
      </c>
      <c r="K60" s="118">
        <f t="shared" si="15"/>
        <v>0</v>
      </c>
      <c r="L60" s="118">
        <f t="shared" si="15"/>
        <v>0</v>
      </c>
      <c r="M60" s="118">
        <f t="shared" si="15"/>
        <v>0</v>
      </c>
      <c r="N60" s="127" t="s">
        <v>144</v>
      </c>
      <c r="O60" s="128" t="s">
        <v>144</v>
      </c>
      <c r="P60" s="129">
        <f>P62+P61+P63</f>
        <v>0</v>
      </c>
      <c r="Q60" s="78"/>
      <c r="R60" s="44">
        <f>R62+R61+R63</f>
        <v>3266405.2</v>
      </c>
    </row>
    <row r="61" s="1" customFormat="1" ht="15.75" spans="1:18">
      <c r="A61" s="43"/>
      <c r="B61" s="123"/>
      <c r="C61" s="124"/>
      <c r="D61" s="124"/>
      <c r="E61" s="42">
        <f t="shared" si="8"/>
        <v>37521396.34</v>
      </c>
      <c r="F61" s="120">
        <v>14358252.73</v>
      </c>
      <c r="G61" s="120">
        <f>1749443.35+249648.04+6859000+P61</f>
        <v>8858091.39</v>
      </c>
      <c r="H61" s="45">
        <f>(10000000+2691435.32+22000+500910.14+405729.4+300000+299500)-30927.84+R61</f>
        <v>14305052.22</v>
      </c>
      <c r="I61" s="120">
        <v>0</v>
      </c>
      <c r="J61" s="120">
        <v>0</v>
      </c>
      <c r="K61" s="120">
        <v>0</v>
      </c>
      <c r="L61" s="120">
        <v>0</v>
      </c>
      <c r="M61" s="120">
        <v>0</v>
      </c>
      <c r="N61" s="127" t="s">
        <v>73</v>
      </c>
      <c r="O61" s="128" t="s">
        <v>105</v>
      </c>
      <c r="P61" s="130"/>
      <c r="Q61" s="78"/>
      <c r="R61" s="98">
        <f>2440332.1+153938.5-2477865.4</f>
        <v>116405.2</v>
      </c>
    </row>
    <row r="62" s="1" customFormat="1" ht="15.75" spans="1:18">
      <c r="A62" s="43"/>
      <c r="B62" s="123"/>
      <c r="C62" s="124"/>
      <c r="D62" s="124"/>
      <c r="E62" s="116">
        <f t="shared" si="8"/>
        <v>7538360.46</v>
      </c>
      <c r="F62" s="120">
        <v>4600000</v>
      </c>
      <c r="G62" s="120">
        <v>2938360.46</v>
      </c>
      <c r="H62" s="120">
        <v>0</v>
      </c>
      <c r="I62" s="120">
        <v>0</v>
      </c>
      <c r="J62" s="120">
        <v>0</v>
      </c>
      <c r="K62" s="120">
        <v>0</v>
      </c>
      <c r="L62" s="120">
        <v>0</v>
      </c>
      <c r="M62" s="120">
        <v>0</v>
      </c>
      <c r="N62" s="127" t="s">
        <v>73</v>
      </c>
      <c r="O62" s="128" t="s">
        <v>146</v>
      </c>
      <c r="P62" s="130"/>
      <c r="Q62" s="78"/>
      <c r="R62" s="98"/>
    </row>
    <row r="63" s="1" customFormat="1" ht="28.5" spans="1:18">
      <c r="A63" s="43"/>
      <c r="B63" s="123"/>
      <c r="C63" s="124"/>
      <c r="D63" s="124"/>
      <c r="E63" s="42">
        <f t="shared" si="8"/>
        <v>5030000</v>
      </c>
      <c r="F63" s="120">
        <v>598000</v>
      </c>
      <c r="G63" s="120">
        <v>1282000</v>
      </c>
      <c r="H63" s="45">
        <f>0+R63</f>
        <v>3150000</v>
      </c>
      <c r="I63" s="120">
        <v>0</v>
      </c>
      <c r="J63" s="120">
        <v>0</v>
      </c>
      <c r="K63" s="120">
        <v>0</v>
      </c>
      <c r="L63" s="120">
        <v>0</v>
      </c>
      <c r="M63" s="120">
        <v>0</v>
      </c>
      <c r="N63" s="127" t="s">
        <v>73</v>
      </c>
      <c r="O63" s="131" t="s">
        <v>101</v>
      </c>
      <c r="P63" s="130"/>
      <c r="Q63" s="78"/>
      <c r="R63" s="98">
        <f>672134.6+2477865.4</f>
        <v>3150000</v>
      </c>
    </row>
    <row r="64" ht="18.75" spans="1:16">
      <c r="A64" s="39" t="s">
        <v>55</v>
      </c>
      <c r="B64" s="125" t="s">
        <v>56</v>
      </c>
      <c r="C64" s="125"/>
      <c r="D64" s="125"/>
      <c r="E64" s="126"/>
      <c r="F64" s="126"/>
      <c r="G64" s="126"/>
      <c r="H64" s="126"/>
      <c r="I64" s="126"/>
      <c r="J64" s="126"/>
      <c r="K64" s="125"/>
      <c r="L64" s="125"/>
      <c r="M64" s="125"/>
      <c r="N64" s="125"/>
      <c r="O64" s="125"/>
      <c r="P64" s="132"/>
    </row>
    <row r="65" ht="15.75" spans="1:16">
      <c r="A65" s="41" t="s">
        <v>57</v>
      </c>
      <c r="B65" s="123" t="s">
        <v>160</v>
      </c>
      <c r="C65" s="124" t="s">
        <v>145</v>
      </c>
      <c r="D65" s="124" t="s">
        <v>150</v>
      </c>
      <c r="E65" s="118">
        <f t="shared" ref="E65:E71" si="16">F65+G65+H65+I65+J65</f>
        <v>29468134.95</v>
      </c>
      <c r="F65" s="120">
        <f t="shared" ref="F65:M65" si="17">F66+F67</f>
        <v>8737726.51</v>
      </c>
      <c r="G65" s="120">
        <f t="shared" si="17"/>
        <v>8609196.32</v>
      </c>
      <c r="H65" s="120">
        <f t="shared" si="17"/>
        <v>12121212.12</v>
      </c>
      <c r="I65" s="120">
        <f t="shared" si="17"/>
        <v>0</v>
      </c>
      <c r="J65" s="120">
        <f t="shared" si="17"/>
        <v>0</v>
      </c>
      <c r="K65" s="120">
        <f t="shared" si="17"/>
        <v>0</v>
      </c>
      <c r="L65" s="120">
        <f t="shared" si="17"/>
        <v>0</v>
      </c>
      <c r="M65" s="120">
        <f t="shared" si="17"/>
        <v>0</v>
      </c>
      <c r="N65" s="135" t="s">
        <v>10</v>
      </c>
      <c r="O65" s="136" t="s">
        <v>144</v>
      </c>
      <c r="P65" s="129">
        <f>P66+P67</f>
        <v>-923148</v>
      </c>
    </row>
    <row r="66" ht="15.75" spans="1:16">
      <c r="A66" s="41"/>
      <c r="B66" s="123"/>
      <c r="C66" s="124"/>
      <c r="D66" s="124"/>
      <c r="E66" s="118">
        <f t="shared" si="16"/>
        <v>29163103.6</v>
      </c>
      <c r="F66" s="120">
        <f t="shared" ref="F66:M66" si="18">F68+F69</f>
        <v>8639999.24</v>
      </c>
      <c r="G66" s="120">
        <f t="shared" si="18"/>
        <v>8523104.36</v>
      </c>
      <c r="H66" s="120">
        <f t="shared" si="18"/>
        <v>12000000</v>
      </c>
      <c r="I66" s="120">
        <f t="shared" si="18"/>
        <v>0</v>
      </c>
      <c r="J66" s="120">
        <f t="shared" si="18"/>
        <v>0</v>
      </c>
      <c r="K66" s="120">
        <f t="shared" si="18"/>
        <v>0</v>
      </c>
      <c r="L66" s="120">
        <f t="shared" si="18"/>
        <v>0</v>
      </c>
      <c r="M66" s="120">
        <f t="shared" si="18"/>
        <v>0</v>
      </c>
      <c r="N66" s="135" t="s">
        <v>15</v>
      </c>
      <c r="O66" s="136" t="s">
        <v>144</v>
      </c>
      <c r="P66" s="129">
        <f>P68+P69</f>
        <v>-913916.52</v>
      </c>
    </row>
    <row r="67" ht="15.75" spans="1:16">
      <c r="A67" s="41"/>
      <c r="B67" s="123"/>
      <c r="C67" s="124"/>
      <c r="D67" s="124"/>
      <c r="E67" s="118">
        <f t="shared" si="16"/>
        <v>305031.35</v>
      </c>
      <c r="F67" s="120">
        <f t="shared" ref="F67:M67" si="19">F70+F71</f>
        <v>97727.27</v>
      </c>
      <c r="G67" s="120">
        <f t="shared" si="19"/>
        <v>86091.96</v>
      </c>
      <c r="H67" s="120">
        <f t="shared" si="19"/>
        <v>121212.12</v>
      </c>
      <c r="I67" s="120">
        <f t="shared" si="19"/>
        <v>0</v>
      </c>
      <c r="J67" s="120">
        <f t="shared" si="19"/>
        <v>0</v>
      </c>
      <c r="K67" s="120">
        <f t="shared" si="19"/>
        <v>0</v>
      </c>
      <c r="L67" s="120">
        <f t="shared" si="19"/>
        <v>0</v>
      </c>
      <c r="M67" s="120">
        <f t="shared" si="19"/>
        <v>0</v>
      </c>
      <c r="N67" s="135" t="s">
        <v>16</v>
      </c>
      <c r="O67" s="136" t="s">
        <v>144</v>
      </c>
      <c r="P67" s="129">
        <f>P70+P71</f>
        <v>-9231.48</v>
      </c>
    </row>
    <row r="68" ht="15.75" spans="1:17">
      <c r="A68" s="43" t="s">
        <v>59</v>
      </c>
      <c r="B68" s="123" t="s">
        <v>86</v>
      </c>
      <c r="C68" s="124" t="s">
        <v>145</v>
      </c>
      <c r="D68" s="124" t="s">
        <v>150</v>
      </c>
      <c r="E68" s="118">
        <f t="shared" si="16"/>
        <v>29163103.6</v>
      </c>
      <c r="F68" s="120">
        <f>9674999.52-1035000.28</f>
        <v>8639999.24</v>
      </c>
      <c r="G68" s="120">
        <f>9437020.88+P68</f>
        <v>8523104.36</v>
      </c>
      <c r="H68" s="120">
        <v>12000000</v>
      </c>
      <c r="I68" s="118">
        <v>0</v>
      </c>
      <c r="J68" s="118">
        <v>0</v>
      </c>
      <c r="K68" s="118">
        <v>0</v>
      </c>
      <c r="L68" s="118">
        <v>0</v>
      </c>
      <c r="M68" s="118">
        <v>0</v>
      </c>
      <c r="N68" s="127" t="s">
        <v>161</v>
      </c>
      <c r="O68" s="136" t="s">
        <v>105</v>
      </c>
      <c r="P68" s="137">
        <f>-855000.27+-58916.25</f>
        <v>-913916.52</v>
      </c>
      <c r="Q68" s="7" t="s">
        <v>204</v>
      </c>
    </row>
    <row r="69" ht="15.75" spans="1:16">
      <c r="A69" s="43"/>
      <c r="B69" s="123"/>
      <c r="C69" s="124"/>
      <c r="D69" s="124"/>
      <c r="E69" s="118">
        <f t="shared" si="16"/>
        <v>0</v>
      </c>
      <c r="F69" s="120">
        <v>0</v>
      </c>
      <c r="G69" s="120">
        <v>0</v>
      </c>
      <c r="H69" s="120">
        <v>0</v>
      </c>
      <c r="I69" s="120">
        <v>0</v>
      </c>
      <c r="J69" s="120">
        <v>0</v>
      </c>
      <c r="K69" s="120">
        <v>0</v>
      </c>
      <c r="L69" s="120">
        <v>0</v>
      </c>
      <c r="M69" s="120">
        <v>0</v>
      </c>
      <c r="N69" s="127" t="s">
        <v>161</v>
      </c>
      <c r="O69" s="136" t="s">
        <v>146</v>
      </c>
      <c r="P69" s="137"/>
    </row>
    <row r="70" ht="15.75" spans="1:17">
      <c r="A70" s="43"/>
      <c r="B70" s="123"/>
      <c r="C70" s="124"/>
      <c r="D70" s="124"/>
      <c r="E70" s="118">
        <f t="shared" si="16"/>
        <v>305031.35</v>
      </c>
      <c r="F70" s="120">
        <v>97727.27</v>
      </c>
      <c r="G70" s="120">
        <f>95323.44+P70</f>
        <v>86091.96</v>
      </c>
      <c r="H70" s="120">
        <v>121212.12</v>
      </c>
      <c r="I70" s="120">
        <v>0</v>
      </c>
      <c r="J70" s="120">
        <v>0</v>
      </c>
      <c r="K70" s="120">
        <v>0</v>
      </c>
      <c r="L70" s="120">
        <v>0</v>
      </c>
      <c r="M70" s="120">
        <v>0</v>
      </c>
      <c r="N70" s="127" t="s">
        <v>147</v>
      </c>
      <c r="O70" s="136" t="s">
        <v>105</v>
      </c>
      <c r="P70" s="137">
        <f>-8636.37+-595.11</f>
        <v>-9231.48</v>
      </c>
      <c r="Q70" s="7" t="s">
        <v>205</v>
      </c>
    </row>
    <row r="71" ht="15.75" spans="1:16">
      <c r="A71" s="43"/>
      <c r="B71" s="123"/>
      <c r="C71" s="124"/>
      <c r="D71" s="124"/>
      <c r="E71" s="118">
        <f t="shared" si="16"/>
        <v>0</v>
      </c>
      <c r="F71" s="120">
        <v>0</v>
      </c>
      <c r="G71" s="120">
        <v>0</v>
      </c>
      <c r="H71" s="120">
        <v>0</v>
      </c>
      <c r="I71" s="120">
        <v>0</v>
      </c>
      <c r="J71" s="120">
        <v>0</v>
      </c>
      <c r="K71" s="120">
        <v>0</v>
      </c>
      <c r="L71" s="120">
        <v>0</v>
      </c>
      <c r="M71" s="120">
        <v>0</v>
      </c>
      <c r="N71" s="127" t="s">
        <v>16</v>
      </c>
      <c r="O71" s="136" t="s">
        <v>162</v>
      </c>
      <c r="P71" s="137"/>
    </row>
    <row r="72" ht="16.5" customHeight="1" spans="1:18">
      <c r="A72" s="39" t="s">
        <v>163</v>
      </c>
      <c r="B72" s="133" t="s">
        <v>185</v>
      </c>
      <c r="C72" s="125" t="s">
        <v>144</v>
      </c>
      <c r="D72" s="125" t="s">
        <v>144</v>
      </c>
      <c r="E72" s="134">
        <f>SUM(F72:M72)</f>
        <v>1046955153.68</v>
      </c>
      <c r="F72" s="134">
        <f t="shared" ref="F72:M72" si="20">F73+F74+F75+F76</f>
        <v>311612202.48</v>
      </c>
      <c r="G72" s="134">
        <f t="shared" si="20"/>
        <v>291518762.75</v>
      </c>
      <c r="H72" s="118">
        <f t="shared" si="20"/>
        <v>159168475.67</v>
      </c>
      <c r="I72" s="134">
        <f t="shared" si="20"/>
        <v>142016184.66</v>
      </c>
      <c r="J72" s="134">
        <f t="shared" si="20"/>
        <v>142639528.12</v>
      </c>
      <c r="K72" s="134">
        <f t="shared" si="20"/>
        <v>0</v>
      </c>
      <c r="L72" s="134">
        <f t="shared" si="20"/>
        <v>0</v>
      </c>
      <c r="M72" s="134">
        <f t="shared" si="20"/>
        <v>0</v>
      </c>
      <c r="N72" s="127" t="s">
        <v>4</v>
      </c>
      <c r="O72" s="134" t="s">
        <v>144</v>
      </c>
      <c r="P72" s="138">
        <f>P73+P74+P75+P76</f>
        <v>195787.41</v>
      </c>
      <c r="R72" s="118">
        <f>R73+R74+R75+R76</f>
        <v>0</v>
      </c>
    </row>
    <row r="73" ht="18.75" spans="1:18">
      <c r="A73" s="39" t="s">
        <v>164</v>
      </c>
      <c r="B73" s="133"/>
      <c r="C73" s="125" t="s">
        <v>144</v>
      </c>
      <c r="D73" s="125" t="s">
        <v>144</v>
      </c>
      <c r="E73" s="134">
        <f>SUM(F73:M73)</f>
        <v>393021345.55</v>
      </c>
      <c r="F73" s="118">
        <f t="shared" ref="F73:M73" si="21">F19+F41</f>
        <v>226297399.5</v>
      </c>
      <c r="G73" s="118">
        <f t="shared" si="21"/>
        <v>57165901.86</v>
      </c>
      <c r="H73" s="118">
        <f t="shared" si="21"/>
        <v>36560478.15</v>
      </c>
      <c r="I73" s="118">
        <f t="shared" si="21"/>
        <v>37268682.78</v>
      </c>
      <c r="J73" s="118">
        <f t="shared" si="21"/>
        <v>35728883.26</v>
      </c>
      <c r="K73" s="118">
        <f t="shared" si="21"/>
        <v>0</v>
      </c>
      <c r="L73" s="118">
        <f t="shared" si="21"/>
        <v>0</v>
      </c>
      <c r="M73" s="118">
        <f t="shared" si="21"/>
        <v>0</v>
      </c>
      <c r="N73" s="127" t="s">
        <v>14</v>
      </c>
      <c r="O73" s="134" t="s">
        <v>144</v>
      </c>
      <c r="P73" s="139">
        <f>P19+P41</f>
        <v>0</v>
      </c>
      <c r="R73" s="118">
        <f>R19+R41</f>
        <v>0</v>
      </c>
    </row>
    <row r="74" ht="18.75" spans="1:18">
      <c r="A74" s="39" t="s">
        <v>165</v>
      </c>
      <c r="B74" s="133"/>
      <c r="C74" s="125" t="s">
        <v>144</v>
      </c>
      <c r="D74" s="125" t="s">
        <v>144</v>
      </c>
      <c r="E74" s="134">
        <f>SUM(F74:M74)</f>
        <v>300690372.79</v>
      </c>
      <c r="F74" s="118">
        <f t="shared" ref="F74:M74" si="22">F20+F42+F66</f>
        <v>41450803.69</v>
      </c>
      <c r="G74" s="118">
        <f t="shared" si="22"/>
        <v>87283476.32</v>
      </c>
      <c r="H74" s="118">
        <f t="shared" si="22"/>
        <v>13722679.7</v>
      </c>
      <c r="I74" s="118">
        <f t="shared" si="22"/>
        <v>79131924.91</v>
      </c>
      <c r="J74" s="118">
        <f t="shared" si="22"/>
        <v>79101488.17</v>
      </c>
      <c r="K74" s="118">
        <f t="shared" si="22"/>
        <v>0</v>
      </c>
      <c r="L74" s="118">
        <f t="shared" si="22"/>
        <v>0</v>
      </c>
      <c r="M74" s="118">
        <f t="shared" si="22"/>
        <v>0</v>
      </c>
      <c r="N74" s="127" t="s">
        <v>71</v>
      </c>
      <c r="O74" s="134" t="s">
        <v>144</v>
      </c>
      <c r="P74" s="139">
        <f>P20+P42+P66</f>
        <v>-913916.52</v>
      </c>
      <c r="R74" s="118">
        <f>R20+R42+R66</f>
        <v>0</v>
      </c>
    </row>
    <row r="75" ht="18.75" customHeight="1" spans="1:18">
      <c r="A75" s="39" t="s">
        <v>166</v>
      </c>
      <c r="B75" s="133"/>
      <c r="C75" s="125" t="s">
        <v>144</v>
      </c>
      <c r="D75" s="125" t="s">
        <v>144</v>
      </c>
      <c r="E75" s="80">
        <f>SUM(F75:M75)</f>
        <v>12278540.98</v>
      </c>
      <c r="F75" s="118">
        <f t="shared" ref="F75:M75" si="23">F21+F43+F67</f>
        <v>2128776.56</v>
      </c>
      <c r="G75" s="118">
        <f t="shared" si="23"/>
        <v>2885538.24</v>
      </c>
      <c r="H75" s="44">
        <f t="shared" si="23"/>
        <v>339492.52</v>
      </c>
      <c r="I75" s="118">
        <f t="shared" si="23"/>
        <v>2615576.97</v>
      </c>
      <c r="J75" s="118">
        <f t="shared" si="23"/>
        <v>4309156.69</v>
      </c>
      <c r="K75" s="118">
        <f t="shared" si="23"/>
        <v>0</v>
      </c>
      <c r="L75" s="118">
        <f t="shared" si="23"/>
        <v>0</v>
      </c>
      <c r="M75" s="118">
        <f t="shared" si="23"/>
        <v>0</v>
      </c>
      <c r="N75" s="127" t="s">
        <v>16</v>
      </c>
      <c r="O75" s="134" t="s">
        <v>144</v>
      </c>
      <c r="P75" s="139">
        <f>P21+P43+P67</f>
        <v>-9231.48</v>
      </c>
      <c r="R75" s="118">
        <f>R21+R43+R67</f>
        <v>-153938.5</v>
      </c>
    </row>
    <row r="76" ht="18.75" customHeight="1" spans="1:18">
      <c r="A76" s="39" t="s">
        <v>167</v>
      </c>
      <c r="B76" s="133"/>
      <c r="C76" s="125" t="s">
        <v>144</v>
      </c>
      <c r="D76" s="125" t="s">
        <v>144</v>
      </c>
      <c r="E76" s="80">
        <f>SUM(F76:M76)</f>
        <v>340964894.36</v>
      </c>
      <c r="F76" s="116">
        <f>F44+F22</f>
        <v>41735222.73</v>
      </c>
      <c r="G76" s="116">
        <f>G44+G22</f>
        <v>144183846.33</v>
      </c>
      <c r="H76" s="42">
        <f>H44+H22</f>
        <v>108545825.3</v>
      </c>
      <c r="I76" s="116">
        <f>I44+I22</f>
        <v>23000000</v>
      </c>
      <c r="J76" s="116">
        <f>J44+J22</f>
        <v>23500000</v>
      </c>
      <c r="K76" s="116">
        <f>K44</f>
        <v>0</v>
      </c>
      <c r="L76" s="116">
        <f>L44</f>
        <v>0</v>
      </c>
      <c r="M76" s="116">
        <f>M44</f>
        <v>0</v>
      </c>
      <c r="N76" s="127" t="s">
        <v>73</v>
      </c>
      <c r="O76" s="134" t="s">
        <v>144</v>
      </c>
      <c r="P76" s="140">
        <f>P44+P22</f>
        <v>1118935.41</v>
      </c>
      <c r="R76" s="116">
        <f>R44+R22</f>
        <v>153938.5</v>
      </c>
    </row>
    <row r="77" ht="18.75" spans="1:16">
      <c r="A77" s="82" t="s">
        <v>218</v>
      </c>
      <c r="B77" s="82"/>
      <c r="C77" s="82"/>
      <c r="D77" s="82"/>
      <c r="E77" s="67"/>
      <c r="F77" s="67"/>
      <c r="G77" s="67"/>
      <c r="H77" s="67"/>
      <c r="I77" s="67"/>
      <c r="J77" s="67"/>
      <c r="K77" s="89"/>
      <c r="L77" s="89"/>
      <c r="M77" s="89"/>
      <c r="N77" s="64"/>
      <c r="O77" s="92"/>
      <c r="P77" s="68"/>
    </row>
    <row r="78" ht="15.75" hidden="1" spans="1:17">
      <c r="A78" s="83"/>
      <c r="B78" s="84"/>
      <c r="C78" s="84"/>
      <c r="D78" s="84"/>
      <c r="E78" s="85" t="e">
        <f>E72-#REF!</f>
        <v>#REF!</v>
      </c>
      <c r="F78" s="85">
        <f>F72-'изм 48 коррект бюджет'!F69</f>
        <v>0</v>
      </c>
      <c r="G78" s="85" t="e">
        <f>G72-#REF!</f>
        <v>#REF!</v>
      </c>
      <c r="H78" s="85">
        <f>H72-'изм 48 коррект бюджет'!H69</f>
        <v>79174948.98</v>
      </c>
      <c r="I78" s="85">
        <f>I72-'изм 48 коррект бюджет'!I69</f>
        <v>62022657.97</v>
      </c>
      <c r="J78" s="29"/>
      <c r="K78" s="93"/>
      <c r="L78" s="93"/>
      <c r="M78" s="93"/>
      <c r="N78" s="93"/>
      <c r="Q78" s="114">
        <f>(G75+G76)/1000000</f>
        <v>147.06938457</v>
      </c>
    </row>
    <row r="79" ht="18.75" spans="1:15">
      <c r="A79" s="83"/>
      <c r="B79" s="86" t="s">
        <v>187</v>
      </c>
      <c r="I79" s="94"/>
      <c r="J79" s="29"/>
      <c r="K79" s="95" t="s">
        <v>87</v>
      </c>
      <c r="L79" s="95"/>
      <c r="M79" s="95"/>
      <c r="N79" s="96">
        <v>178063747.64</v>
      </c>
      <c r="O79" s="96"/>
    </row>
    <row r="80" s="1" customFormat="1" ht="18.75" spans="1:17">
      <c r="A80" s="83"/>
      <c r="B80" s="86"/>
      <c r="C80" s="3"/>
      <c r="D80" s="3"/>
      <c r="E80" s="2"/>
      <c r="F80" s="2"/>
      <c r="G80" s="2"/>
      <c r="H80" s="2"/>
      <c r="I80" s="97"/>
      <c r="J80" s="29"/>
      <c r="K80" s="95" t="s">
        <v>88</v>
      </c>
      <c r="L80" s="95"/>
      <c r="M80" s="95"/>
      <c r="N80" s="96">
        <v>506829756.46</v>
      </c>
      <c r="O80" s="96"/>
      <c r="P80" s="98"/>
      <c r="Q80" s="78"/>
    </row>
    <row r="81" s="1" customFormat="1" ht="18.75" spans="1:17">
      <c r="A81" s="83"/>
      <c r="B81" s="86" t="s">
        <v>188</v>
      </c>
      <c r="C81" s="3"/>
      <c r="D81" s="3"/>
      <c r="E81" s="2"/>
      <c r="F81" s="2"/>
      <c r="G81" s="2"/>
      <c r="H81" s="2"/>
      <c r="I81" s="97"/>
      <c r="J81" s="29"/>
      <c r="K81" s="99" t="s">
        <v>157</v>
      </c>
      <c r="L81" s="99"/>
      <c r="M81" s="99"/>
      <c r="N81" s="100">
        <f>N82+N83+N84</f>
        <v>904315625.56</v>
      </c>
      <c r="O81" s="100"/>
      <c r="P81" s="98"/>
      <c r="Q81" s="78"/>
    </row>
    <row r="82" s="1" customFormat="1" ht="18.75" spans="1:17">
      <c r="A82" s="83"/>
      <c r="B82" s="86" t="s">
        <v>189</v>
      </c>
      <c r="C82" s="3"/>
      <c r="D82" s="3"/>
      <c r="E82" s="2"/>
      <c r="F82" s="2"/>
      <c r="G82" s="2"/>
      <c r="H82" s="2"/>
      <c r="I82" s="97"/>
      <c r="J82" s="29"/>
      <c r="K82" s="101" t="s">
        <v>157</v>
      </c>
      <c r="L82" s="101"/>
      <c r="M82" s="102" t="s">
        <v>14</v>
      </c>
      <c r="N82" s="103">
        <f>F73+G73+H73+I73</f>
        <v>357292462.29</v>
      </c>
      <c r="O82" s="103"/>
      <c r="P82" s="98"/>
      <c r="Q82" s="78"/>
    </row>
    <row r="83" s="1" customFormat="1" ht="18.75" spans="1:17">
      <c r="A83" s="83"/>
      <c r="B83" s="86" t="s">
        <v>190</v>
      </c>
      <c r="C83" s="3"/>
      <c r="D83" s="3"/>
      <c r="E83" s="2"/>
      <c r="F83" s="2"/>
      <c r="G83" s="2"/>
      <c r="H83" s="2"/>
      <c r="I83" s="97"/>
      <c r="J83" s="29"/>
      <c r="K83" s="101" t="s">
        <v>157</v>
      </c>
      <c r="L83" s="101"/>
      <c r="M83" s="102" t="s">
        <v>71</v>
      </c>
      <c r="N83" s="104">
        <f>F74+G74+H74+I74</f>
        <v>221588884.62</v>
      </c>
      <c r="O83" s="104"/>
      <c r="P83" s="98"/>
      <c r="Q83" s="78"/>
    </row>
    <row r="84" s="1" customFormat="1" ht="18.75" spans="1:17">
      <c r="A84" s="83"/>
      <c r="B84" s="86" t="s">
        <v>191</v>
      </c>
      <c r="C84" s="3"/>
      <c r="D84" s="3"/>
      <c r="E84" s="2"/>
      <c r="F84" s="2"/>
      <c r="G84" s="2"/>
      <c r="H84" s="2"/>
      <c r="I84" s="97"/>
      <c r="J84" s="29"/>
      <c r="K84" s="101" t="s">
        <v>157</v>
      </c>
      <c r="L84" s="101"/>
      <c r="M84" s="105" t="s">
        <v>207</v>
      </c>
      <c r="N84" s="106">
        <f>N85+N86</f>
        <v>325434278.65</v>
      </c>
      <c r="O84" s="107"/>
      <c r="P84" s="98"/>
      <c r="Q84" s="78"/>
    </row>
    <row r="85" s="1" customFormat="1" ht="18.75" spans="1:17">
      <c r="A85" s="83"/>
      <c r="B85" s="87" t="s">
        <v>192</v>
      </c>
      <c r="C85" s="87"/>
      <c r="D85" s="87"/>
      <c r="E85" s="88"/>
      <c r="F85" s="88"/>
      <c r="G85" s="88"/>
      <c r="H85" s="88"/>
      <c r="I85" s="97"/>
      <c r="J85" s="29"/>
      <c r="K85" s="101" t="s">
        <v>157</v>
      </c>
      <c r="L85" s="101"/>
      <c r="M85" s="105" t="s">
        <v>16</v>
      </c>
      <c r="N85" s="108">
        <f>F75+G75+H75+I75</f>
        <v>7969384.29</v>
      </c>
      <c r="O85" s="108"/>
      <c r="P85" s="109">
        <f>N85+N86</f>
        <v>325434278.65</v>
      </c>
      <c r="Q85" s="78"/>
    </row>
    <row r="86" s="1" customFormat="1" ht="18.75" spans="1:17">
      <c r="A86" s="83"/>
      <c r="B86" s="86" t="s">
        <v>193</v>
      </c>
      <c r="C86" s="3"/>
      <c r="D86" s="3"/>
      <c r="E86" s="2"/>
      <c r="F86" s="2"/>
      <c r="G86" s="2"/>
      <c r="H86" s="2"/>
      <c r="I86" s="97"/>
      <c r="J86" s="29"/>
      <c r="K86" s="101" t="s">
        <v>157</v>
      </c>
      <c r="L86" s="101"/>
      <c r="M86" s="105" t="s">
        <v>73</v>
      </c>
      <c r="N86" s="108">
        <f>F76+G76+H76+I76</f>
        <v>317464894.36</v>
      </c>
      <c r="O86" s="108"/>
      <c r="P86" s="109"/>
      <c r="Q86" s="78"/>
    </row>
    <row r="87" s="1" customFormat="1" ht="18.75" spans="1:17">
      <c r="A87" s="83"/>
      <c r="B87" s="86" t="s">
        <v>195</v>
      </c>
      <c r="C87" s="3"/>
      <c r="D87" s="3"/>
      <c r="E87" s="2"/>
      <c r="F87" s="2"/>
      <c r="G87" s="2"/>
      <c r="H87" s="2"/>
      <c r="I87" s="97"/>
      <c r="J87" s="29"/>
      <c r="K87" s="95" t="s">
        <v>194</v>
      </c>
      <c r="L87" s="95"/>
      <c r="M87" s="95"/>
      <c r="N87" s="110">
        <f>J72+K72+L72+M72</f>
        <v>142639528.12</v>
      </c>
      <c r="O87" s="110"/>
      <c r="P87" s="98"/>
      <c r="Q87" s="78"/>
    </row>
    <row r="88" ht="18.75" spans="2:15">
      <c r="B88" s="86" t="s">
        <v>196</v>
      </c>
      <c r="I88" s="85"/>
      <c r="J88" s="29"/>
      <c r="K88" s="29"/>
      <c r="L88" s="29"/>
      <c r="M88" s="29"/>
      <c r="N88" s="111">
        <f>N87+N81+N80+N79</f>
        <v>1731848657.78</v>
      </c>
      <c r="O88" s="112"/>
    </row>
    <row r="89" ht="18.75" spans="2:15">
      <c r="B89" s="86" t="s">
        <v>197</v>
      </c>
      <c r="N89" s="113"/>
      <c r="O89" s="113"/>
    </row>
    <row r="90" ht="18" customHeight="1"/>
    <row r="91" hidden="1"/>
    <row r="92" hidden="1"/>
    <row r="93" hidden="1"/>
    <row r="94" ht="2" hidden="1" customHeight="1"/>
    <row r="95" hidden="1"/>
    <row r="96" hidden="1"/>
    <row r="97" hidden="1"/>
    <row r="98" hidden="1"/>
    <row r="99" hidden="1"/>
    <row r="100" ht="38.25" customHeight="1"/>
    <row r="101" s="2" customFormat="1" spans="1:17">
      <c r="A101" s="3"/>
      <c r="K101" s="3"/>
      <c r="L101" s="3"/>
      <c r="M101" s="3"/>
      <c r="N101" s="4" t="s">
        <v>125</v>
      </c>
      <c r="O101" s="5"/>
      <c r="P101" s="6"/>
      <c r="Q101" s="115"/>
    </row>
  </sheetData>
  <mergeCells count="89">
    <mergeCell ref="J2:L2"/>
    <mergeCell ref="B11:G11"/>
    <mergeCell ref="E13:M13"/>
    <mergeCell ref="F14:M14"/>
    <mergeCell ref="B17:P17"/>
    <mergeCell ref="B39:P39"/>
    <mergeCell ref="B64:P64"/>
    <mergeCell ref="A77:D77"/>
    <mergeCell ref="K79:M79"/>
    <mergeCell ref="N79:O79"/>
    <mergeCell ref="K80:M80"/>
    <mergeCell ref="N80:O80"/>
    <mergeCell ref="K81:M81"/>
    <mergeCell ref="N81:O81"/>
    <mergeCell ref="K82:L82"/>
    <mergeCell ref="N82:O82"/>
    <mergeCell ref="K83:L83"/>
    <mergeCell ref="N83:O83"/>
    <mergeCell ref="K84:L84"/>
    <mergeCell ref="N84:O84"/>
    <mergeCell ref="B85:H85"/>
    <mergeCell ref="K85:L85"/>
    <mergeCell ref="N85:O85"/>
    <mergeCell ref="K86:L86"/>
    <mergeCell ref="N86:O86"/>
    <mergeCell ref="K87:M87"/>
    <mergeCell ref="N87:O87"/>
    <mergeCell ref="N88:O88"/>
    <mergeCell ref="N89:O89"/>
    <mergeCell ref="A13:A15"/>
    <mergeCell ref="A18:A22"/>
    <mergeCell ref="A23:A30"/>
    <mergeCell ref="A31:A35"/>
    <mergeCell ref="A36:A38"/>
    <mergeCell ref="A40:A44"/>
    <mergeCell ref="A45:A47"/>
    <mergeCell ref="A48:A51"/>
    <mergeCell ref="A52:A54"/>
    <mergeCell ref="A55:A59"/>
    <mergeCell ref="A60:A63"/>
    <mergeCell ref="A65:A67"/>
    <mergeCell ref="A68:A71"/>
    <mergeCell ref="B13:B15"/>
    <mergeCell ref="B18:B22"/>
    <mergeCell ref="B23:B30"/>
    <mergeCell ref="B31:B35"/>
    <mergeCell ref="B36:B38"/>
    <mergeCell ref="B40:B44"/>
    <mergeCell ref="B45:B47"/>
    <mergeCell ref="B48:B51"/>
    <mergeCell ref="B52:B54"/>
    <mergeCell ref="B55:B59"/>
    <mergeCell ref="B60:B63"/>
    <mergeCell ref="B65:B67"/>
    <mergeCell ref="B68:B71"/>
    <mergeCell ref="B72:B76"/>
    <mergeCell ref="C13:C15"/>
    <mergeCell ref="C18:C22"/>
    <mergeCell ref="C23:C30"/>
    <mergeCell ref="C31:C35"/>
    <mergeCell ref="C36:C38"/>
    <mergeCell ref="C40:C44"/>
    <mergeCell ref="C45:C47"/>
    <mergeCell ref="C48:C51"/>
    <mergeCell ref="C52:C54"/>
    <mergeCell ref="C55:C59"/>
    <mergeCell ref="C60:C63"/>
    <mergeCell ref="C65:C67"/>
    <mergeCell ref="C68:C71"/>
    <mergeCell ref="D13:D15"/>
    <mergeCell ref="D18:D22"/>
    <mergeCell ref="D23:D30"/>
    <mergeCell ref="D31:D35"/>
    <mergeCell ref="D36:D38"/>
    <mergeCell ref="D40:D44"/>
    <mergeCell ref="D45:D47"/>
    <mergeCell ref="D48:D51"/>
    <mergeCell ref="D52:D54"/>
    <mergeCell ref="D55:D59"/>
    <mergeCell ref="D60:D63"/>
    <mergeCell ref="D65:D67"/>
    <mergeCell ref="D68:D71"/>
    <mergeCell ref="N13:N15"/>
    <mergeCell ref="O13:O15"/>
    <mergeCell ref="O45:O47"/>
    <mergeCell ref="O53:O54"/>
    <mergeCell ref="O56:O59"/>
    <mergeCell ref="P13:P15"/>
    <mergeCell ref="P85:P86"/>
  </mergeCells>
  <pageMargins left="0.393700787401575" right="0.393700787401575" top="0.393700787401575" bottom="0.393700787401575" header="0" footer="0"/>
  <pageSetup paperSize="9" scale="67" fitToHeight="0" orientation="landscape" blackAndWhite="1" horizontalDpi="600" verticalDpi="600"/>
  <headerFooter>
    <oddHeader>&amp;C&amp;A</oddHeader>
    <oddFooter>&amp;C&amp;D
&amp;T&amp;R&amp;F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6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4285714285714" style="3" customWidth="1"/>
    <col min="7" max="7" width="17.4285714285714" style="3" customWidth="1"/>
    <col min="8" max="8" width="17.7142857142857" style="3" customWidth="1"/>
    <col min="9" max="9" width="22.8571428571429" style="4" customWidth="1"/>
    <col min="10" max="10" width="13.5714285714286" style="1" customWidth="1"/>
    <col min="11" max="16384" width="39" style="8"/>
  </cols>
  <sheetData>
    <row r="1" ht="21" spans="1:9">
      <c r="A1" s="483" t="s">
        <v>0</v>
      </c>
      <c r="B1" s="484" t="s">
        <v>1</v>
      </c>
      <c r="C1" s="484" t="s">
        <v>2</v>
      </c>
      <c r="D1" s="484" t="s">
        <v>3</v>
      </c>
      <c r="E1" s="484" t="s">
        <v>4</v>
      </c>
      <c r="F1" s="484">
        <v>2020</v>
      </c>
      <c r="G1" s="484">
        <v>2021</v>
      </c>
      <c r="H1" s="486">
        <v>2022</v>
      </c>
      <c r="I1" s="520" t="s">
        <v>5</v>
      </c>
    </row>
    <row r="2" s="1" customFormat="1" ht="19.5" spans="1:9">
      <c r="A2" s="427" t="s">
        <v>6</v>
      </c>
      <c r="B2" s="487" t="s">
        <v>7</v>
      </c>
      <c r="C2" s="429"/>
      <c r="D2" s="429"/>
      <c r="E2" s="429"/>
      <c r="F2" s="429"/>
      <c r="G2" s="429"/>
      <c r="H2" s="429"/>
      <c r="I2" s="469"/>
    </row>
    <row r="3" s="1" customFormat="1" ht="51" spans="1:9">
      <c r="A3" s="525" t="s">
        <v>8</v>
      </c>
      <c r="B3" s="351" t="s">
        <v>9</v>
      </c>
      <c r="C3" s="352"/>
      <c r="D3" s="352"/>
      <c r="E3" s="353">
        <f>E4</f>
        <v>127103984.68</v>
      </c>
      <c r="F3" s="353">
        <f>F4</f>
        <v>47229562.96</v>
      </c>
      <c r="G3" s="353">
        <f>G4</f>
        <v>43247999.47</v>
      </c>
      <c r="H3" s="353">
        <f>H4</f>
        <v>36626422.25</v>
      </c>
      <c r="I3" s="562" t="s">
        <v>10</v>
      </c>
    </row>
    <row r="4" s="1" customFormat="1" ht="15.75" spans="1:9">
      <c r="A4" s="526" t="s">
        <v>11</v>
      </c>
      <c r="B4" s="527" t="s">
        <v>12</v>
      </c>
      <c r="C4" s="527"/>
      <c r="D4" s="527"/>
      <c r="E4" s="528">
        <f t="shared" ref="E4:E8" si="0">SUM(F4:H4)</f>
        <v>127103984.68</v>
      </c>
      <c r="F4" s="529">
        <f>SUM(F5:F8)</f>
        <v>47229562.96</v>
      </c>
      <c r="G4" s="529">
        <f>SUM(G5:G8)</f>
        <v>43247999.47</v>
      </c>
      <c r="H4" s="529">
        <f>SUM(H5:H8)</f>
        <v>36626422.25</v>
      </c>
      <c r="I4" s="563" t="s">
        <v>13</v>
      </c>
    </row>
    <row r="5" s="1" customFormat="1" ht="15.75" spans="1:9">
      <c r="A5" s="526"/>
      <c r="B5" s="527"/>
      <c r="C5" s="527"/>
      <c r="D5" s="527"/>
      <c r="E5" s="528">
        <f t="shared" si="0"/>
        <v>113036448.25</v>
      </c>
      <c r="F5" s="358">
        <f>F10+F11+F12</f>
        <v>41884990.12</v>
      </c>
      <c r="G5" s="358">
        <f>G10+G11+G12</f>
        <v>36046471.3</v>
      </c>
      <c r="H5" s="358">
        <f>H10+H11+H12</f>
        <v>35104986.83</v>
      </c>
      <c r="I5" s="564" t="s">
        <v>14</v>
      </c>
    </row>
    <row r="6" s="1" customFormat="1" ht="15.75" spans="1:9">
      <c r="A6" s="526"/>
      <c r="B6" s="527"/>
      <c r="C6" s="527"/>
      <c r="D6" s="527"/>
      <c r="E6" s="528">
        <f t="shared" si="0"/>
        <v>2306866.38</v>
      </c>
      <c r="F6" s="358">
        <f>F13+F14+F15</f>
        <v>854795.78</v>
      </c>
      <c r="G6" s="358">
        <f t="shared" ref="G6:H6" si="1">G13+G14+G15</f>
        <v>735642.3</v>
      </c>
      <c r="H6" s="358">
        <f t="shared" si="1"/>
        <v>716428.3</v>
      </c>
      <c r="I6" s="564" t="s">
        <v>15</v>
      </c>
    </row>
    <row r="7" s="1" customFormat="1" ht="15.75" spans="1:9">
      <c r="A7" s="526"/>
      <c r="B7" s="527"/>
      <c r="C7" s="527"/>
      <c r="D7" s="527"/>
      <c r="E7" s="528">
        <f t="shared" si="0"/>
        <v>579614.66</v>
      </c>
      <c r="F7" s="358">
        <f>F16+F17+F18</f>
        <v>214772.8</v>
      </c>
      <c r="G7" s="358">
        <f>G16+G17+G18</f>
        <v>184834.74</v>
      </c>
      <c r="H7" s="358">
        <f>H16+H17+H18</f>
        <v>180007.12</v>
      </c>
      <c r="I7" s="564" t="s">
        <v>16</v>
      </c>
    </row>
    <row r="8" s="1" customFormat="1" ht="15.75" spans="1:9">
      <c r="A8" s="526"/>
      <c r="B8" s="527"/>
      <c r="C8" s="527"/>
      <c r="D8" s="527"/>
      <c r="E8" s="528">
        <f t="shared" si="0"/>
        <v>11181055.39</v>
      </c>
      <c r="F8" s="358">
        <f>F19+F20+F21+F23+F24+F25+F27+F28+F29</f>
        <v>4275004.26</v>
      </c>
      <c r="G8" s="358">
        <f>G19+G20+G21+G23+G24+G25+G27+G28+G29</f>
        <v>6281051.13</v>
      </c>
      <c r="H8" s="358">
        <v>625000</v>
      </c>
      <c r="I8" s="564" t="s">
        <v>17</v>
      </c>
    </row>
    <row r="9" s="1" customFormat="1" spans="1:9">
      <c r="A9" s="43" t="s">
        <v>18</v>
      </c>
      <c r="B9" s="147" t="s">
        <v>19</v>
      </c>
      <c r="C9" s="147"/>
      <c r="D9" s="147"/>
      <c r="E9" s="282">
        <f>E10+E11+E12+E13+E14+E15+E16+E17+E18+E19+E20+E21</f>
        <v>124828776.78</v>
      </c>
      <c r="F9" s="282">
        <f>F10+F11+F12+F13+F14+F15+F16+F17+F18+F19+F20+F21</f>
        <v>45562355.06</v>
      </c>
      <c r="G9" s="282">
        <f>G10+G11+G12+G13+G14+G15+G16+G17+G18+G19+G20+G21</f>
        <v>42847999.47</v>
      </c>
      <c r="H9" s="282">
        <f>H10+H11+H12+H13+H14+H15+H16+H17+H18+H19+H20+H21</f>
        <v>36418422.25</v>
      </c>
      <c r="I9" s="287" t="s">
        <v>13</v>
      </c>
    </row>
    <row r="10" s="1" customFormat="1" ht="15.75" spans="1:11">
      <c r="A10" s="43"/>
      <c r="B10" s="148"/>
      <c r="C10" s="148"/>
      <c r="D10" s="148"/>
      <c r="E10" s="530">
        <f t="shared" ref="E10:E20" si="2">SUM(F10:H10)</f>
        <v>16126757.14</v>
      </c>
      <c r="F10" s="359">
        <f>595978.5</f>
        <v>595978.5</v>
      </c>
      <c r="G10" s="531">
        <v>0</v>
      </c>
      <c r="H10" s="358">
        <v>15530778.64</v>
      </c>
      <c r="I10" s="411" t="s">
        <v>20</v>
      </c>
      <c r="K10" s="1">
        <v>35140986.83</v>
      </c>
    </row>
    <row r="11" s="1" customFormat="1" ht="15.75" spans="1:11">
      <c r="A11" s="43"/>
      <c r="B11" s="148"/>
      <c r="C11" s="148"/>
      <c r="D11" s="148"/>
      <c r="E11" s="532">
        <f t="shared" si="2"/>
        <v>60863219.81</v>
      </c>
      <c r="F11" s="361">
        <f>11700000+29589011.62</f>
        <v>41289011.62</v>
      </c>
      <c r="G11" s="361">
        <v>0</v>
      </c>
      <c r="H11" s="361">
        <v>19574208.19</v>
      </c>
      <c r="I11" s="412" t="s">
        <v>21</v>
      </c>
      <c r="J11" s="1">
        <f>H11+H14+H17+H20</f>
        <v>20491052.09</v>
      </c>
      <c r="K11" s="1" t="e">
        <f>K10-#REF!</f>
        <v>#REF!</v>
      </c>
    </row>
    <row r="12" s="1" customFormat="1" ht="15.75" spans="1:9">
      <c r="A12" s="43"/>
      <c r="B12" s="148"/>
      <c r="C12" s="148"/>
      <c r="D12" s="148"/>
      <c r="E12" s="243">
        <f t="shared" si="2"/>
        <v>36046471.3</v>
      </c>
      <c r="F12" s="245">
        <v>0</v>
      </c>
      <c r="G12" s="245">
        <v>36046471.3</v>
      </c>
      <c r="H12" s="245">
        <v>0</v>
      </c>
      <c r="I12" s="265" t="s">
        <v>22</v>
      </c>
    </row>
    <row r="13" s="1" customFormat="1" ht="15.75" spans="1:9">
      <c r="A13" s="43"/>
      <c r="B13" s="148"/>
      <c r="C13" s="148"/>
      <c r="D13" s="148"/>
      <c r="E13" s="530">
        <f t="shared" si="2"/>
        <v>329179.87</v>
      </c>
      <c r="F13" s="359">
        <v>12225.2</v>
      </c>
      <c r="G13" s="359">
        <v>0</v>
      </c>
      <c r="H13" s="359">
        <v>316954.67</v>
      </c>
      <c r="I13" s="411" t="s">
        <v>23</v>
      </c>
    </row>
    <row r="14" s="1" customFormat="1" ht="15.75" spans="1:9">
      <c r="A14" s="43"/>
      <c r="B14" s="148"/>
      <c r="C14" s="148"/>
      <c r="D14" s="148"/>
      <c r="E14" s="532">
        <f t="shared" si="2"/>
        <v>1242044.21</v>
      </c>
      <c r="F14" s="361">
        <f>240000+602570.58</f>
        <v>842570.58</v>
      </c>
      <c r="G14" s="361">
        <v>0</v>
      </c>
      <c r="H14" s="361">
        <v>399473.63</v>
      </c>
      <c r="I14" s="412" t="s">
        <v>24</v>
      </c>
    </row>
    <row r="15" s="1" customFormat="1" ht="15.75" spans="1:9">
      <c r="A15" s="43"/>
      <c r="B15" s="148"/>
      <c r="C15" s="148"/>
      <c r="D15" s="148"/>
      <c r="E15" s="244">
        <f t="shared" si="2"/>
        <v>735642.3</v>
      </c>
      <c r="F15" s="245">
        <v>0</v>
      </c>
      <c r="G15" s="245">
        <v>735642.3</v>
      </c>
      <c r="H15" s="245">
        <v>0</v>
      </c>
      <c r="I15" s="244" t="s">
        <v>25</v>
      </c>
    </row>
    <row r="16" s="1" customFormat="1" ht="15.75" spans="1:9">
      <c r="A16" s="43"/>
      <c r="B16" s="148"/>
      <c r="C16" s="148"/>
      <c r="D16" s="148"/>
      <c r="E16" s="533">
        <f t="shared" si="2"/>
        <v>82693.15</v>
      </c>
      <c r="F16" s="359">
        <v>3056.3</v>
      </c>
      <c r="G16" s="359">
        <v>0</v>
      </c>
      <c r="H16" s="359">
        <v>79636.85</v>
      </c>
      <c r="I16" s="411" t="s">
        <v>26</v>
      </c>
    </row>
    <row r="17" s="1" customFormat="1" ht="15.75" spans="1:9">
      <c r="A17" s="43"/>
      <c r="B17" s="148"/>
      <c r="C17" s="148"/>
      <c r="D17" s="148"/>
      <c r="E17" s="532">
        <f t="shared" si="2"/>
        <v>312086.77</v>
      </c>
      <c r="F17" s="361">
        <v>211716.5</v>
      </c>
      <c r="G17" s="361">
        <v>0</v>
      </c>
      <c r="H17" s="361">
        <v>100370.27</v>
      </c>
      <c r="I17" s="412" t="s">
        <v>27</v>
      </c>
    </row>
    <row r="18" s="1" customFormat="1" ht="15.75" spans="1:9">
      <c r="A18" s="43"/>
      <c r="B18" s="148"/>
      <c r="C18" s="148"/>
      <c r="D18" s="148"/>
      <c r="E18" s="244">
        <f t="shared" si="2"/>
        <v>184834.74</v>
      </c>
      <c r="F18" s="245">
        <v>0</v>
      </c>
      <c r="G18" s="245">
        <v>184834.74</v>
      </c>
      <c r="H18" s="245">
        <v>0</v>
      </c>
      <c r="I18" s="244" t="s">
        <v>28</v>
      </c>
    </row>
    <row r="19" s="1" customFormat="1" ht="15.75" spans="1:9">
      <c r="A19" s="43"/>
      <c r="B19" s="148"/>
      <c r="C19" s="148"/>
      <c r="D19" s="148"/>
      <c r="E19" s="533">
        <f t="shared" si="2"/>
        <v>0</v>
      </c>
      <c r="F19" s="359">
        <v>0</v>
      </c>
      <c r="G19" s="359">
        <v>0</v>
      </c>
      <c r="H19" s="359">
        <v>0</v>
      </c>
      <c r="I19" s="411" t="s">
        <v>29</v>
      </c>
    </row>
    <row r="20" ht="15.75" spans="1:9">
      <c r="A20" s="43"/>
      <c r="B20" s="148"/>
      <c r="C20" s="148"/>
      <c r="D20" s="148"/>
      <c r="E20" s="534">
        <f t="shared" si="2"/>
        <v>3024796.36</v>
      </c>
      <c r="F20" s="361">
        <v>2607796.36</v>
      </c>
      <c r="G20" s="361">
        <v>0</v>
      </c>
      <c r="H20" s="361">
        <v>417000</v>
      </c>
      <c r="I20" s="412" t="s">
        <v>30</v>
      </c>
    </row>
    <row r="21" ht="15.75" spans="1:10">
      <c r="A21" s="43"/>
      <c r="B21" s="149"/>
      <c r="C21" s="149"/>
      <c r="D21" s="149"/>
      <c r="E21" s="244">
        <f>F21+G21+H21</f>
        <v>5881051.13</v>
      </c>
      <c r="F21" s="245">
        <v>0</v>
      </c>
      <c r="G21" s="245">
        <f>415165.26+1683927+J21</f>
        <v>5881051.13</v>
      </c>
      <c r="H21" s="245">
        <v>0</v>
      </c>
      <c r="I21" s="244" t="s">
        <v>31</v>
      </c>
      <c r="J21" s="1">
        <f>2200000+1581958.87</f>
        <v>3781958.87</v>
      </c>
    </row>
    <row r="22" ht="23.25" customHeight="1" spans="1:9">
      <c r="A22" s="535" t="s">
        <v>32</v>
      </c>
      <c r="B22" s="147" t="s">
        <v>33</v>
      </c>
      <c r="C22" s="147"/>
      <c r="D22" s="147"/>
      <c r="E22" s="280">
        <f>E23+E24+E25</f>
        <v>1388100</v>
      </c>
      <c r="F22" s="280">
        <f>F23+F24+F25</f>
        <v>1176100</v>
      </c>
      <c r="G22" s="280">
        <f>G23+G24+G25</f>
        <v>200000</v>
      </c>
      <c r="H22" s="280">
        <f>H23+H24+H25</f>
        <v>12000</v>
      </c>
      <c r="I22" s="280" t="s">
        <v>10</v>
      </c>
    </row>
    <row r="23" ht="15.75" spans="1:9">
      <c r="A23" s="536"/>
      <c r="B23" s="148"/>
      <c r="C23" s="148"/>
      <c r="D23" s="148"/>
      <c r="E23" s="530">
        <f t="shared" ref="E23:E25" si="3">SUM(F23:H23)</f>
        <v>24500</v>
      </c>
      <c r="F23" s="359">
        <v>24500</v>
      </c>
      <c r="G23" s="359">
        <v>0</v>
      </c>
      <c r="H23" s="359">
        <v>0</v>
      </c>
      <c r="I23" s="411" t="s">
        <v>29</v>
      </c>
    </row>
    <row r="24" ht="23.25" customHeight="1" spans="1:9">
      <c r="A24" s="536"/>
      <c r="B24" s="148"/>
      <c r="C24" s="148"/>
      <c r="D24" s="148"/>
      <c r="E24" s="532">
        <f t="shared" si="3"/>
        <v>563600</v>
      </c>
      <c r="F24" s="361">
        <v>551600</v>
      </c>
      <c r="G24" s="361">
        <v>0</v>
      </c>
      <c r="H24" s="361">
        <v>12000</v>
      </c>
      <c r="I24" s="412" t="s">
        <v>30</v>
      </c>
    </row>
    <row r="25" ht="23.25" customHeight="1" spans="1:9">
      <c r="A25" s="537"/>
      <c r="B25" s="149"/>
      <c r="C25" s="149"/>
      <c r="D25" s="149"/>
      <c r="E25" s="244">
        <f t="shared" si="3"/>
        <v>800000</v>
      </c>
      <c r="F25" s="245">
        <v>600000</v>
      </c>
      <c r="G25" s="245">
        <v>200000</v>
      </c>
      <c r="H25" s="245">
        <v>0</v>
      </c>
      <c r="I25" s="244" t="s">
        <v>31</v>
      </c>
    </row>
    <row r="26" ht="15.75" spans="1:9">
      <c r="A26" s="535" t="s">
        <v>34</v>
      </c>
      <c r="B26" s="538" t="s">
        <v>35</v>
      </c>
      <c r="C26" s="538"/>
      <c r="D26" s="538"/>
      <c r="E26" s="280">
        <f>E27+E28+E29</f>
        <v>887107.9</v>
      </c>
      <c r="F26" s="280">
        <f>F27+F28+F29</f>
        <v>491107.9</v>
      </c>
      <c r="G26" s="280">
        <f>G27+G28+G29</f>
        <v>200000</v>
      </c>
      <c r="H26" s="280">
        <f>H27+H28+H29</f>
        <v>196000</v>
      </c>
      <c r="I26" s="280" t="s">
        <v>10</v>
      </c>
    </row>
    <row r="27" ht="15.75" spans="1:9">
      <c r="A27" s="536"/>
      <c r="B27" s="539"/>
      <c r="C27" s="539"/>
      <c r="D27" s="539"/>
      <c r="E27" s="533">
        <f t="shared" ref="E27:E29" si="4">SUM(F27:H27)</f>
        <v>196000</v>
      </c>
      <c r="F27" s="359">
        <v>0</v>
      </c>
      <c r="G27" s="359">
        <v>0</v>
      </c>
      <c r="H27" s="359">
        <v>196000</v>
      </c>
      <c r="I27" s="411" t="s">
        <v>29</v>
      </c>
    </row>
    <row r="28" ht="15.75" spans="1:9">
      <c r="A28" s="536"/>
      <c r="B28" s="539"/>
      <c r="C28" s="539"/>
      <c r="D28" s="539"/>
      <c r="E28" s="534">
        <f t="shared" si="4"/>
        <v>491107.9</v>
      </c>
      <c r="F28" s="361">
        <v>491107.9</v>
      </c>
      <c r="G28" s="361">
        <v>0</v>
      </c>
      <c r="H28" s="361">
        <v>0</v>
      </c>
      <c r="I28" s="412" t="s">
        <v>30</v>
      </c>
    </row>
    <row r="29" ht="15.75" spans="1:9">
      <c r="A29" s="537"/>
      <c r="B29" s="540"/>
      <c r="C29" s="540"/>
      <c r="D29" s="540"/>
      <c r="E29" s="244">
        <f t="shared" si="4"/>
        <v>200000</v>
      </c>
      <c r="F29" s="245">
        <v>0</v>
      </c>
      <c r="G29" s="245">
        <v>200000</v>
      </c>
      <c r="H29" s="245">
        <v>0</v>
      </c>
      <c r="I29" s="244" t="s">
        <v>31</v>
      </c>
    </row>
    <row r="30" ht="18.75" spans="1:9">
      <c r="A30" s="315" t="s">
        <v>36</v>
      </c>
      <c r="B30" s="367" t="s">
        <v>37</v>
      </c>
      <c r="C30" s="367"/>
      <c r="D30" s="367"/>
      <c r="E30" s="367"/>
      <c r="F30" s="367"/>
      <c r="G30" s="367"/>
      <c r="H30" s="367"/>
      <c r="I30" s="367"/>
    </row>
    <row r="31" ht="17.25" customHeight="1" spans="1:9">
      <c r="A31" s="541" t="s">
        <v>38</v>
      </c>
      <c r="B31" s="542" t="s">
        <v>39</v>
      </c>
      <c r="C31" s="370"/>
      <c r="D31" s="370"/>
      <c r="E31" s="371">
        <f t="shared" ref="E31:E78" si="5">F31+G31+H31</f>
        <v>356367556.31</v>
      </c>
      <c r="F31" s="371">
        <f>F36+F49</f>
        <v>96123382.74</v>
      </c>
      <c r="G31" s="371">
        <f>G36+G49</f>
        <v>38911594.91</v>
      </c>
      <c r="H31" s="371">
        <f>H36+H49</f>
        <v>221332578.66</v>
      </c>
      <c r="I31" s="39" t="s">
        <v>10</v>
      </c>
    </row>
    <row r="32" ht="16.5" customHeight="1" spans="1:9">
      <c r="A32" s="543"/>
      <c r="B32" s="544"/>
      <c r="C32" s="370"/>
      <c r="D32" s="370"/>
      <c r="E32" s="371">
        <f t="shared" si="5"/>
        <v>170480658.92</v>
      </c>
      <c r="F32" s="371">
        <f>F50</f>
        <v>0</v>
      </c>
      <c r="G32" s="371">
        <f t="shared" ref="G32:H32" si="6">G50</f>
        <v>0</v>
      </c>
      <c r="H32" s="371">
        <f t="shared" si="6"/>
        <v>170480658.92</v>
      </c>
      <c r="I32" s="371" t="s">
        <v>14</v>
      </c>
    </row>
    <row r="33" spans="1:9">
      <c r="A33" s="543"/>
      <c r="B33" s="544"/>
      <c r="C33" s="374"/>
      <c r="D33" s="374"/>
      <c r="E33" s="371">
        <f t="shared" si="5"/>
        <v>142627408.77</v>
      </c>
      <c r="F33" s="371">
        <f t="shared" ref="F33:F35" si="7">F37+F50</f>
        <v>70238713.4</v>
      </c>
      <c r="G33" s="371">
        <f t="shared" ref="G33:G35" si="8">G37+G50</f>
        <v>35085778</v>
      </c>
      <c r="H33" s="371">
        <f>H37</f>
        <v>37302917.37</v>
      </c>
      <c r="I33" s="261" t="s">
        <v>15</v>
      </c>
    </row>
    <row r="34" spans="1:9">
      <c r="A34" s="543"/>
      <c r="B34" s="544"/>
      <c r="C34" s="374"/>
      <c r="D34" s="374"/>
      <c r="E34" s="371">
        <f t="shared" si="5"/>
        <v>6133183.85</v>
      </c>
      <c r="F34" s="371">
        <f t="shared" si="7"/>
        <v>2172331.35</v>
      </c>
      <c r="G34" s="371">
        <f t="shared" si="8"/>
        <v>1085127.16</v>
      </c>
      <c r="H34" s="371">
        <f t="shared" ref="H34:H35" si="9">H38+H51</f>
        <v>2875725.34</v>
      </c>
      <c r="I34" s="261" t="s">
        <v>16</v>
      </c>
    </row>
    <row r="35" spans="1:9">
      <c r="A35" s="545"/>
      <c r="B35" s="546"/>
      <c r="C35" s="374"/>
      <c r="D35" s="374"/>
      <c r="E35" s="371">
        <f t="shared" si="5"/>
        <v>37126304.77</v>
      </c>
      <c r="F35" s="371">
        <f t="shared" si="7"/>
        <v>23712337.99</v>
      </c>
      <c r="G35" s="371">
        <f t="shared" si="8"/>
        <v>2740689.75</v>
      </c>
      <c r="H35" s="371">
        <f t="shared" si="9"/>
        <v>10673277.03</v>
      </c>
      <c r="I35" s="261" t="s">
        <v>17</v>
      </c>
    </row>
    <row r="36" ht="15.75" spans="1:9">
      <c r="A36" s="547" t="s">
        <v>40</v>
      </c>
      <c r="B36" s="378" t="s">
        <v>41</v>
      </c>
      <c r="C36" s="378"/>
      <c r="D36" s="378"/>
      <c r="E36" s="371">
        <f t="shared" si="5"/>
        <v>183312620.53</v>
      </c>
      <c r="F36" s="379">
        <f>SUM(F37:F39)</f>
        <v>96123382.74</v>
      </c>
      <c r="G36" s="379">
        <f>SUM(G37:G39)</f>
        <v>38911594.91</v>
      </c>
      <c r="H36" s="379">
        <f>SUM(H37:H39)</f>
        <v>48277642.88</v>
      </c>
      <c r="I36" s="414" t="s">
        <v>10</v>
      </c>
    </row>
    <row r="37" ht="15.75" spans="1:9">
      <c r="A37" s="548"/>
      <c r="B37" s="378"/>
      <c r="C37" s="378"/>
      <c r="D37" s="378"/>
      <c r="E37" s="371">
        <f t="shared" si="5"/>
        <v>142627408.77</v>
      </c>
      <c r="F37" s="381">
        <f>F41</f>
        <v>70238713.4</v>
      </c>
      <c r="G37" s="381">
        <f>G41</f>
        <v>35085778</v>
      </c>
      <c r="H37" s="381">
        <f>H41+H42</f>
        <v>37302917.37</v>
      </c>
      <c r="I37" s="414" t="s">
        <v>15</v>
      </c>
    </row>
    <row r="38" ht="15.75" spans="1:9">
      <c r="A38" s="548"/>
      <c r="B38" s="378"/>
      <c r="C38" s="378"/>
      <c r="D38" s="378"/>
      <c r="E38" s="371">
        <f t="shared" si="5"/>
        <v>4411156.99</v>
      </c>
      <c r="F38" s="381">
        <f>F43</f>
        <v>2172331.35</v>
      </c>
      <c r="G38" s="381">
        <f>G43</f>
        <v>1085127.16</v>
      </c>
      <c r="H38" s="381">
        <f>H43+H44</f>
        <v>1153698.48</v>
      </c>
      <c r="I38" s="414" t="s">
        <v>16</v>
      </c>
    </row>
    <row r="39" ht="15.75" spans="1:9">
      <c r="A39" s="548"/>
      <c r="B39" s="378"/>
      <c r="C39" s="378"/>
      <c r="D39" s="378"/>
      <c r="E39" s="371">
        <f t="shared" si="5"/>
        <v>36274054.77</v>
      </c>
      <c r="F39" s="381">
        <f>F45+F47+F46</f>
        <v>23712337.99</v>
      </c>
      <c r="G39" s="381">
        <f>G45+G47+G46</f>
        <v>2740689.75</v>
      </c>
      <c r="H39" s="381">
        <f>H45+H47+H46+H48</f>
        <v>9821027.03</v>
      </c>
      <c r="I39" s="414" t="s">
        <v>17</v>
      </c>
    </row>
    <row r="40" ht="15.75" spans="1:9">
      <c r="A40" s="535" t="s">
        <v>42</v>
      </c>
      <c r="B40" s="27" t="s">
        <v>43</v>
      </c>
      <c r="C40" s="27"/>
      <c r="D40" s="27"/>
      <c r="E40" s="371">
        <f t="shared" si="5"/>
        <v>180942714.81</v>
      </c>
      <c r="F40" s="26">
        <f>SUM(F41:F45)</f>
        <v>95565882.74</v>
      </c>
      <c r="G40" s="26">
        <f>SUM(G41:G45)</f>
        <v>38231594.91</v>
      </c>
      <c r="H40" s="26">
        <f>SUM(H41:H46)</f>
        <v>47145237.16</v>
      </c>
      <c r="I40" s="64" t="s">
        <v>10</v>
      </c>
    </row>
    <row r="41" ht="15.75" spans="1:11">
      <c r="A41" s="536"/>
      <c r="B41" s="27"/>
      <c r="C41" s="27"/>
      <c r="D41" s="27"/>
      <c r="E41" s="371">
        <f t="shared" si="5"/>
        <v>115693668.45</v>
      </c>
      <c r="F41" s="28">
        <v>70238713.4</v>
      </c>
      <c r="G41" s="28">
        <v>35085778</v>
      </c>
      <c r="H41" s="28">
        <v>10369177.05</v>
      </c>
      <c r="I41" s="64" t="s">
        <v>23</v>
      </c>
      <c r="K41" s="28"/>
    </row>
    <row r="42" ht="15.75" spans="1:11">
      <c r="A42" s="536"/>
      <c r="B42" s="27"/>
      <c r="C42" s="27"/>
      <c r="D42" s="27"/>
      <c r="E42" s="371">
        <f t="shared" si="5"/>
        <v>26933740.32</v>
      </c>
      <c r="F42" s="28">
        <v>0</v>
      </c>
      <c r="G42" s="28">
        <v>0</v>
      </c>
      <c r="H42" s="28">
        <v>26933740.32</v>
      </c>
      <c r="I42" s="64" t="s">
        <v>24</v>
      </c>
      <c r="K42" s="94"/>
    </row>
    <row r="43" ht="15.75" spans="1:9">
      <c r="A43" s="536"/>
      <c r="B43" s="27"/>
      <c r="C43" s="27"/>
      <c r="D43" s="27"/>
      <c r="E43" s="371">
        <f t="shared" si="5"/>
        <v>3578154.71</v>
      </c>
      <c r="F43" s="28">
        <v>2172331.35</v>
      </c>
      <c r="G43" s="28">
        <f>1085127.16</f>
        <v>1085127.16</v>
      </c>
      <c r="H43" s="28">
        <v>320696.2</v>
      </c>
      <c r="I43" s="64" t="s">
        <v>44</v>
      </c>
    </row>
    <row r="44" ht="15.75" spans="1:9">
      <c r="A44" s="536"/>
      <c r="B44" s="27"/>
      <c r="C44" s="27"/>
      <c r="D44" s="27"/>
      <c r="E44" s="371">
        <f t="shared" si="5"/>
        <v>833002.28</v>
      </c>
      <c r="F44" s="28">
        <v>0</v>
      </c>
      <c r="G44" s="28">
        <v>0</v>
      </c>
      <c r="H44" s="28">
        <v>833002.28</v>
      </c>
      <c r="I44" s="64" t="s">
        <v>45</v>
      </c>
    </row>
    <row r="45" ht="15.75" spans="1:9">
      <c r="A45" s="536"/>
      <c r="B45" s="27"/>
      <c r="C45" s="27"/>
      <c r="D45" s="27"/>
      <c r="E45" s="371">
        <f t="shared" si="5"/>
        <v>33526560.14</v>
      </c>
      <c r="F45" s="28">
        <f>25175187.38-F47-1462849.39</f>
        <v>23154837.99</v>
      </c>
      <c r="G45" s="28">
        <f>2114872.85-1683927+1629743.9</f>
        <v>2060689.75</v>
      </c>
      <c r="H45" s="28">
        <v>8311032.4</v>
      </c>
      <c r="I45" s="64" t="s">
        <v>29</v>
      </c>
    </row>
    <row r="46" ht="15.75" spans="1:9">
      <c r="A46" s="536"/>
      <c r="B46" s="147"/>
      <c r="C46" s="27"/>
      <c r="D46" s="27"/>
      <c r="E46" s="371">
        <f t="shared" si="5"/>
        <v>377588.91</v>
      </c>
      <c r="F46" s="28">
        <v>0</v>
      </c>
      <c r="G46" s="28">
        <v>0</v>
      </c>
      <c r="H46" s="28">
        <v>377588.91</v>
      </c>
      <c r="I46" s="64" t="s">
        <v>30</v>
      </c>
    </row>
    <row r="47" ht="19.5" customHeight="1" spans="1:10">
      <c r="A47" s="549" t="s">
        <v>46</v>
      </c>
      <c r="B47" s="147" t="s">
        <v>47</v>
      </c>
      <c r="C47" s="27"/>
      <c r="D47" s="27"/>
      <c r="E47" s="371">
        <f t="shared" si="5"/>
        <v>2326405.72</v>
      </c>
      <c r="F47" s="28">
        <f>500000+57500</f>
        <v>557500</v>
      </c>
      <c r="G47" s="28">
        <v>680000</v>
      </c>
      <c r="H47" s="450">
        <f>(130000+305287.88+164712.12+280774.66+736106.4)-527975.34</f>
        <v>1088905.72</v>
      </c>
      <c r="I47" s="64" t="s">
        <v>29</v>
      </c>
      <c r="J47" s="1">
        <v>80000</v>
      </c>
    </row>
    <row r="48" ht="19.5" customHeight="1" spans="1:9">
      <c r="A48" s="550"/>
      <c r="B48" s="149"/>
      <c r="C48" s="27"/>
      <c r="D48" s="27"/>
      <c r="E48" s="371">
        <f t="shared" si="5"/>
        <v>43500</v>
      </c>
      <c r="F48" s="28">
        <v>0</v>
      </c>
      <c r="G48" s="28">
        <v>0</v>
      </c>
      <c r="H48" s="450">
        <f>43500</f>
        <v>43500</v>
      </c>
      <c r="I48" s="64" t="s">
        <v>30</v>
      </c>
    </row>
    <row r="49" ht="15.75" customHeight="1" spans="1:9">
      <c r="A49" s="551" t="s">
        <v>48</v>
      </c>
      <c r="B49" s="552" t="s">
        <v>49</v>
      </c>
      <c r="C49" s="383"/>
      <c r="D49" s="383"/>
      <c r="E49" s="371">
        <f t="shared" si="5"/>
        <v>173054935.78</v>
      </c>
      <c r="F49" s="384">
        <f>SUM(F50:F52)</f>
        <v>0</v>
      </c>
      <c r="G49" s="384">
        <f>SUM(G50:G52)</f>
        <v>0</v>
      </c>
      <c r="H49" s="384">
        <f>SUM(H50:H52)</f>
        <v>173054935.78</v>
      </c>
      <c r="I49" s="64" t="s">
        <v>50</v>
      </c>
    </row>
    <row r="50" ht="15.75" spans="1:9">
      <c r="A50" s="553"/>
      <c r="B50" s="554"/>
      <c r="C50" s="383"/>
      <c r="D50" s="383"/>
      <c r="E50" s="371">
        <f t="shared" si="5"/>
        <v>170480658.92</v>
      </c>
      <c r="F50" s="386">
        <v>0</v>
      </c>
      <c r="G50" s="386">
        <v>0</v>
      </c>
      <c r="H50" s="386">
        <f t="shared" ref="H50:H52" si="10">H54</f>
        <v>170480658.92</v>
      </c>
      <c r="I50" s="64" t="s">
        <v>20</v>
      </c>
    </row>
    <row r="51" ht="15.75" spans="1:9">
      <c r="A51" s="553"/>
      <c r="B51" s="554"/>
      <c r="C51" s="383"/>
      <c r="D51" s="383"/>
      <c r="E51" s="371">
        <f t="shared" si="5"/>
        <v>1722026.86</v>
      </c>
      <c r="F51" s="386">
        <v>0</v>
      </c>
      <c r="G51" s="386">
        <v>0</v>
      </c>
      <c r="H51" s="386">
        <f t="shared" si="10"/>
        <v>1722026.86</v>
      </c>
      <c r="I51" s="64" t="s">
        <v>44</v>
      </c>
    </row>
    <row r="52" ht="15.75" spans="1:9">
      <c r="A52" s="555"/>
      <c r="B52" s="556"/>
      <c r="C52" s="383"/>
      <c r="D52" s="383"/>
      <c r="E52" s="371">
        <f t="shared" si="5"/>
        <v>852250</v>
      </c>
      <c r="F52" s="386">
        <v>0</v>
      </c>
      <c r="G52" s="386">
        <v>0</v>
      </c>
      <c r="H52" s="386">
        <f t="shared" si="10"/>
        <v>852250</v>
      </c>
      <c r="I52" s="64" t="s">
        <v>29</v>
      </c>
    </row>
    <row r="53" ht="15.75" spans="1:9">
      <c r="A53" s="535" t="s">
        <v>51</v>
      </c>
      <c r="B53" s="27" t="s">
        <v>52</v>
      </c>
      <c r="C53" s="27"/>
      <c r="D53" s="27"/>
      <c r="E53" s="371">
        <f t="shared" si="5"/>
        <v>172202685.78</v>
      </c>
      <c r="F53" s="26">
        <f t="shared" ref="F53:H53" si="11">SUM(F54:F55)</f>
        <v>0</v>
      </c>
      <c r="G53" s="26">
        <f t="shared" si="11"/>
        <v>0</v>
      </c>
      <c r="H53" s="26">
        <f t="shared" si="11"/>
        <v>172202685.78</v>
      </c>
      <c r="I53" s="64" t="s">
        <v>10</v>
      </c>
    </row>
    <row r="54" ht="15.75" spans="1:9">
      <c r="A54" s="536"/>
      <c r="B54" s="27"/>
      <c r="C54" s="27"/>
      <c r="D54" s="27"/>
      <c r="E54" s="371">
        <f t="shared" si="5"/>
        <v>170480658.92</v>
      </c>
      <c r="F54" s="28">
        <v>0</v>
      </c>
      <c r="G54" s="28">
        <v>0</v>
      </c>
      <c r="H54" s="28">
        <v>170480658.92</v>
      </c>
      <c r="I54" s="64" t="s">
        <v>20</v>
      </c>
    </row>
    <row r="55" ht="15.75" spans="1:9">
      <c r="A55" s="536"/>
      <c r="B55" s="27"/>
      <c r="C55" s="27"/>
      <c r="D55" s="27"/>
      <c r="E55" s="371">
        <f t="shared" si="5"/>
        <v>1722026.86</v>
      </c>
      <c r="F55" s="28">
        <v>0</v>
      </c>
      <c r="G55" s="28">
        <v>0</v>
      </c>
      <c r="H55" s="28">
        <v>1722026.86</v>
      </c>
      <c r="I55" s="64" t="s">
        <v>53</v>
      </c>
    </row>
    <row r="56" ht="30.75" customHeight="1" spans="1:10">
      <c r="A56" s="43" t="s">
        <v>54</v>
      </c>
      <c r="B56" s="27" t="s">
        <v>47</v>
      </c>
      <c r="C56" s="27"/>
      <c r="D56" s="27"/>
      <c r="E56" s="371">
        <f t="shared" si="5"/>
        <v>852250</v>
      </c>
      <c r="F56" s="28">
        <v>0</v>
      </c>
      <c r="G56" s="28">
        <v>0</v>
      </c>
      <c r="H56" s="450">
        <f>324274.66+527975.34</f>
        <v>852250</v>
      </c>
      <c r="I56" s="64" t="s">
        <v>29</v>
      </c>
      <c r="J56" s="1">
        <v>80000</v>
      </c>
    </row>
    <row r="57" ht="18.75" spans="1:9">
      <c r="A57" s="315" t="s">
        <v>55</v>
      </c>
      <c r="B57" s="367" t="s">
        <v>56</v>
      </c>
      <c r="C57" s="367"/>
      <c r="D57" s="367"/>
      <c r="E57" s="367"/>
      <c r="F57" s="367"/>
      <c r="G57" s="367"/>
      <c r="H57" s="367"/>
      <c r="I57" s="367"/>
    </row>
    <row r="58" ht="51" spans="1:9">
      <c r="A58" s="557" t="s">
        <v>57</v>
      </c>
      <c r="B58" s="558" t="s">
        <v>58</v>
      </c>
      <c r="C58" s="558"/>
      <c r="D58" s="558"/>
      <c r="E58" s="559">
        <f t="shared" si="5"/>
        <v>23358215.47</v>
      </c>
      <c r="F58" s="559">
        <f t="shared" ref="F58:H58" si="12">F59</f>
        <v>0</v>
      </c>
      <c r="G58" s="559">
        <f t="shared" si="12"/>
        <v>14121600</v>
      </c>
      <c r="H58" s="559">
        <f t="shared" si="12"/>
        <v>9236615.47</v>
      </c>
      <c r="I58" s="565" t="s">
        <v>10</v>
      </c>
    </row>
    <row r="59" ht="15.75" spans="1:9">
      <c r="A59" s="560" t="s">
        <v>59</v>
      </c>
      <c r="B59" s="389" t="s">
        <v>60</v>
      </c>
      <c r="C59" s="389"/>
      <c r="D59" s="389"/>
      <c r="E59" s="559">
        <f t="shared" si="5"/>
        <v>23358215.47</v>
      </c>
      <c r="F59" s="534">
        <f>SUM(F60:F62)</f>
        <v>0</v>
      </c>
      <c r="G59" s="534">
        <f>SUM(G60:G62)</f>
        <v>14121600</v>
      </c>
      <c r="H59" s="534">
        <f>H60+H61+H62</f>
        <v>9236615.47</v>
      </c>
      <c r="I59" s="412" t="s">
        <v>10</v>
      </c>
    </row>
    <row r="60" ht="15.75" spans="1:9">
      <c r="A60" s="561"/>
      <c r="B60" s="389"/>
      <c r="C60" s="389"/>
      <c r="D60" s="389"/>
      <c r="E60" s="559">
        <f t="shared" si="5"/>
        <v>21144249.32</v>
      </c>
      <c r="F60" s="361">
        <f>F64</f>
        <v>0</v>
      </c>
      <c r="G60" s="361">
        <f>G64</f>
        <v>12000000</v>
      </c>
      <c r="H60" s="361">
        <f>H64+H65+H66+H67+H68</f>
        <v>9144249.32</v>
      </c>
      <c r="I60" s="412" t="s">
        <v>15</v>
      </c>
    </row>
    <row r="61" ht="15.75" spans="1:9">
      <c r="A61" s="561"/>
      <c r="B61" s="389"/>
      <c r="C61" s="389"/>
      <c r="D61" s="389"/>
      <c r="E61" s="559">
        <f t="shared" si="5"/>
        <v>213966.15</v>
      </c>
      <c r="F61" s="361">
        <f>F69</f>
        <v>0</v>
      </c>
      <c r="G61" s="361">
        <f>G69</f>
        <v>121600</v>
      </c>
      <c r="H61" s="361">
        <f>H69+H70+H71</f>
        <v>92366.15</v>
      </c>
      <c r="I61" s="412" t="s">
        <v>16</v>
      </c>
    </row>
    <row r="62" ht="15.75" spans="1:9">
      <c r="A62" s="561"/>
      <c r="B62" s="389"/>
      <c r="C62" s="389"/>
      <c r="D62" s="389"/>
      <c r="E62" s="559">
        <f t="shared" si="5"/>
        <v>2000000</v>
      </c>
      <c r="F62" s="361">
        <f>F72</f>
        <v>0</v>
      </c>
      <c r="G62" s="361">
        <f t="shared" ref="G62:H62" si="13">G72</f>
        <v>2000000</v>
      </c>
      <c r="H62" s="361">
        <f t="shared" si="13"/>
        <v>0</v>
      </c>
      <c r="I62" s="412" t="s">
        <v>17</v>
      </c>
    </row>
    <row r="63" ht="15.75" spans="1:9">
      <c r="A63" s="535" t="s">
        <v>61</v>
      </c>
      <c r="B63" s="27" t="s">
        <v>62</v>
      </c>
      <c r="C63" s="27"/>
      <c r="D63" s="27"/>
      <c r="E63" s="559">
        <f t="shared" si="5"/>
        <v>23358215.47</v>
      </c>
      <c r="F63" s="26">
        <f t="shared" ref="F63:H63" si="14">SUM(F64:F72)</f>
        <v>0</v>
      </c>
      <c r="G63" s="26">
        <f t="shared" si="14"/>
        <v>14121600</v>
      </c>
      <c r="H63" s="26">
        <f t="shared" si="14"/>
        <v>9236615.47</v>
      </c>
      <c r="I63" s="64" t="s">
        <v>10</v>
      </c>
    </row>
    <row r="64" ht="15.75" spans="1:9">
      <c r="A64" s="536"/>
      <c r="B64" s="27"/>
      <c r="C64" s="27"/>
      <c r="D64" s="27"/>
      <c r="E64" s="559">
        <f t="shared" si="5"/>
        <v>12000000</v>
      </c>
      <c r="F64" s="28">
        <v>0</v>
      </c>
      <c r="G64" s="28">
        <v>12000000</v>
      </c>
      <c r="H64" s="28">
        <v>0</v>
      </c>
      <c r="I64" s="64" t="s">
        <v>63</v>
      </c>
    </row>
    <row r="65" ht="15.75" spans="1:9">
      <c r="A65" s="536"/>
      <c r="B65" s="27"/>
      <c r="C65" s="27"/>
      <c r="D65" s="27"/>
      <c r="E65" s="559">
        <f t="shared" si="5"/>
        <v>0</v>
      </c>
      <c r="F65" s="28">
        <v>0</v>
      </c>
      <c r="G65" s="28">
        <v>0</v>
      </c>
      <c r="H65" s="28">
        <v>0</v>
      </c>
      <c r="I65" s="411" t="s">
        <v>64</v>
      </c>
    </row>
    <row r="66" ht="15.75" spans="1:9">
      <c r="A66" s="536"/>
      <c r="B66" s="27"/>
      <c r="C66" s="27"/>
      <c r="D66" s="27"/>
      <c r="E66" s="559">
        <f t="shared" si="5"/>
        <v>6894251.57</v>
      </c>
      <c r="F66" s="28">
        <v>0</v>
      </c>
      <c r="G66" s="28">
        <v>0</v>
      </c>
      <c r="H66" s="28">
        <v>6894251.57</v>
      </c>
      <c r="I66" s="411" t="s">
        <v>65</v>
      </c>
    </row>
    <row r="67" ht="15.75" spans="1:9">
      <c r="A67" s="536"/>
      <c r="B67" s="27"/>
      <c r="C67" s="27"/>
      <c r="D67" s="27"/>
      <c r="E67" s="559">
        <f t="shared" si="5"/>
        <v>0</v>
      </c>
      <c r="F67" s="28">
        <v>0</v>
      </c>
      <c r="G67" s="28">
        <v>0</v>
      </c>
      <c r="H67" s="28">
        <v>0</v>
      </c>
      <c r="I67" s="412" t="s">
        <v>66</v>
      </c>
    </row>
    <row r="68" ht="15.75" spans="1:9">
      <c r="A68" s="536"/>
      <c r="B68" s="27"/>
      <c r="C68" s="27"/>
      <c r="D68" s="27"/>
      <c r="E68" s="559">
        <f t="shared" si="5"/>
        <v>2249997.75</v>
      </c>
      <c r="F68" s="28">
        <v>0</v>
      </c>
      <c r="G68" s="28">
        <v>0</v>
      </c>
      <c r="H68" s="28">
        <v>2249997.75</v>
      </c>
      <c r="I68" s="412" t="s">
        <v>67</v>
      </c>
    </row>
    <row r="69" ht="15.75" spans="1:9">
      <c r="A69" s="536"/>
      <c r="B69" s="27"/>
      <c r="C69" s="27"/>
      <c r="D69" s="27"/>
      <c r="E69" s="559">
        <f t="shared" si="5"/>
        <v>121600</v>
      </c>
      <c r="F69" s="28">
        <v>0</v>
      </c>
      <c r="G69" s="28">
        <v>121600</v>
      </c>
      <c r="H69" s="28">
        <v>0</v>
      </c>
      <c r="I69" s="64" t="s">
        <v>68</v>
      </c>
    </row>
    <row r="70" ht="15.75" spans="1:9">
      <c r="A70" s="536"/>
      <c r="B70" s="27"/>
      <c r="C70" s="27"/>
      <c r="D70" s="27"/>
      <c r="E70" s="559">
        <f t="shared" si="5"/>
        <v>69638.9</v>
      </c>
      <c r="F70" s="28">
        <v>0</v>
      </c>
      <c r="G70" s="28">
        <v>0</v>
      </c>
      <c r="H70" s="28">
        <v>69638.9</v>
      </c>
      <c r="I70" s="411" t="s">
        <v>44</v>
      </c>
    </row>
    <row r="71" ht="15.75" spans="1:9">
      <c r="A71" s="536"/>
      <c r="B71" s="27"/>
      <c r="C71" s="27"/>
      <c r="D71" s="27"/>
      <c r="E71" s="559">
        <f t="shared" si="5"/>
        <v>22727.25</v>
      </c>
      <c r="F71" s="28">
        <v>0</v>
      </c>
      <c r="G71" s="28">
        <v>0</v>
      </c>
      <c r="H71" s="28">
        <v>22727.25</v>
      </c>
      <c r="I71" s="412" t="s">
        <v>45</v>
      </c>
    </row>
    <row r="72" ht="15.75" spans="1:9">
      <c r="A72" s="536"/>
      <c r="B72" s="27"/>
      <c r="C72" s="27"/>
      <c r="D72" s="27"/>
      <c r="E72" s="559">
        <f t="shared" si="5"/>
        <v>2000000</v>
      </c>
      <c r="F72" s="28">
        <v>0</v>
      </c>
      <c r="G72" s="28">
        <v>2000000</v>
      </c>
      <c r="H72" s="28">
        <v>0</v>
      </c>
      <c r="I72" s="64" t="s">
        <v>69</v>
      </c>
    </row>
    <row r="73" ht="18.75" customHeight="1" spans="1:9">
      <c r="A73" s="396" t="s">
        <v>70</v>
      </c>
      <c r="B73" s="396"/>
      <c r="C73" s="396"/>
      <c r="D73" s="517"/>
      <c r="E73" s="282">
        <f t="shared" si="5"/>
        <v>506829756.46</v>
      </c>
      <c r="F73" s="282">
        <f>F74+F75+F76+F77+F78</f>
        <v>143352945.7</v>
      </c>
      <c r="G73" s="282">
        <f>G74+G75+G76+G77+G78</f>
        <v>96281194.38</v>
      </c>
      <c r="H73" s="282">
        <f>H74+H75+H76+H77+H78</f>
        <v>267195616.38</v>
      </c>
      <c r="I73" s="340"/>
    </row>
    <row r="74" ht="15.75" customHeight="1" spans="1:9">
      <c r="A74" s="399"/>
      <c r="B74" s="399"/>
      <c r="C74" s="399"/>
      <c r="D74" s="518"/>
      <c r="E74" s="280">
        <f t="shared" si="5"/>
        <v>283517107.17</v>
      </c>
      <c r="F74" s="280">
        <f>F5</f>
        <v>41884990.12</v>
      </c>
      <c r="G74" s="280">
        <f>G5</f>
        <v>36046471.3</v>
      </c>
      <c r="H74" s="280">
        <f>H5+H32</f>
        <v>205585645.75</v>
      </c>
      <c r="I74" s="420" t="s">
        <v>14</v>
      </c>
    </row>
    <row r="75" ht="15.75" customHeight="1" spans="1:9">
      <c r="A75" s="399"/>
      <c r="B75" s="399"/>
      <c r="C75" s="399"/>
      <c r="D75" s="518"/>
      <c r="E75" s="280">
        <f t="shared" si="5"/>
        <v>166078524.47</v>
      </c>
      <c r="F75" s="280">
        <f>F6+F33+F64</f>
        <v>71093509.18</v>
      </c>
      <c r="G75" s="280">
        <f>G6+G33+G64</f>
        <v>47821420.3</v>
      </c>
      <c r="H75" s="280">
        <f>H6+H33+H60</f>
        <v>47163594.99</v>
      </c>
      <c r="I75" s="420" t="s">
        <v>71</v>
      </c>
    </row>
    <row r="76" ht="15.75" customHeight="1" spans="1:9">
      <c r="A76" s="399"/>
      <c r="B76" s="399"/>
      <c r="C76" s="399"/>
      <c r="D76" s="518"/>
      <c r="E76" s="280">
        <f t="shared" si="5"/>
        <v>0</v>
      </c>
      <c r="F76" s="280">
        <f>F65+F67</f>
        <v>0</v>
      </c>
      <c r="G76" s="280">
        <f>G65+G67</f>
        <v>0</v>
      </c>
      <c r="H76" s="280">
        <f>H65+H67</f>
        <v>0</v>
      </c>
      <c r="I76" s="420" t="s">
        <v>72</v>
      </c>
    </row>
    <row r="77" ht="18.75" customHeight="1" spans="1:9">
      <c r="A77" s="399"/>
      <c r="B77" s="399"/>
      <c r="C77" s="399"/>
      <c r="D77" s="518"/>
      <c r="E77" s="280">
        <f t="shared" si="5"/>
        <v>6926764.66</v>
      </c>
      <c r="F77" s="280">
        <f t="shared" ref="F77:F78" si="15">F7+F38+F61</f>
        <v>2387104.15</v>
      </c>
      <c r="G77" s="280">
        <f t="shared" ref="G77:G78" si="16">G7+G38+G61</f>
        <v>1391561.9</v>
      </c>
      <c r="H77" s="280">
        <f t="shared" ref="H77:H78" si="17">H7+H34+H61</f>
        <v>3148098.61</v>
      </c>
      <c r="I77" s="287" t="s">
        <v>16</v>
      </c>
    </row>
    <row r="78" ht="18.75" customHeight="1" spans="1:13">
      <c r="A78" s="402"/>
      <c r="B78" s="402"/>
      <c r="C78" s="402"/>
      <c r="D78" s="519"/>
      <c r="E78" s="282">
        <f t="shared" si="5"/>
        <v>50307360.16</v>
      </c>
      <c r="F78" s="282">
        <f t="shared" si="15"/>
        <v>27987342.25</v>
      </c>
      <c r="G78" s="282">
        <f t="shared" si="16"/>
        <v>11021740.88</v>
      </c>
      <c r="H78" s="282">
        <f t="shared" si="17"/>
        <v>11298277.03</v>
      </c>
      <c r="I78" s="287" t="s">
        <v>73</v>
      </c>
      <c r="M78" s="8" t="s">
        <v>74</v>
      </c>
    </row>
    <row r="79" ht="18.75" spans="1:9">
      <c r="A79" s="284" t="s">
        <v>5</v>
      </c>
      <c r="B79" s="284"/>
      <c r="C79" s="284"/>
      <c r="D79" s="284"/>
      <c r="E79" s="323"/>
      <c r="F79" s="323"/>
      <c r="G79" s="566"/>
      <c r="H79" s="323"/>
      <c r="I79" s="340" t="s">
        <v>75</v>
      </c>
    </row>
    <row r="80" ht="15.75" spans="2:9">
      <c r="B80" s="467"/>
      <c r="C80" s="467"/>
      <c r="D80" s="467"/>
      <c r="I80" s="479"/>
    </row>
    <row r="81" ht="15.75" spans="7:9">
      <c r="G81" s="2">
        <f>G78+G77</f>
        <v>12413302.78</v>
      </c>
      <c r="I81" s="480"/>
    </row>
    <row r="82" s="1" customFormat="1" ht="15.75" spans="1:13">
      <c r="A82" s="3"/>
      <c r="B82" s="3"/>
      <c r="C82" s="3"/>
      <c r="D82" s="3"/>
      <c r="E82" s="3"/>
      <c r="F82" s="3"/>
      <c r="G82" s="3"/>
      <c r="H82" s="3"/>
      <c r="I82" s="480"/>
      <c r="K82" s="8"/>
      <c r="L82" s="8"/>
      <c r="M82" s="8"/>
    </row>
    <row r="83" s="1" customFormat="1" ht="15.75" spans="1:13">
      <c r="A83" s="3"/>
      <c r="B83" s="3"/>
      <c r="C83" s="3"/>
      <c r="D83" s="3"/>
      <c r="E83" s="3"/>
      <c r="F83" s="3"/>
      <c r="G83" s="3"/>
      <c r="H83" s="3"/>
      <c r="I83" s="480"/>
      <c r="K83" s="8"/>
      <c r="L83" s="8"/>
      <c r="M83" s="8"/>
    </row>
    <row r="84" s="1" customFormat="1" ht="15.75" spans="1:13">
      <c r="A84" s="3"/>
      <c r="B84" s="3"/>
      <c r="C84" s="3"/>
      <c r="D84" s="3"/>
      <c r="E84" s="3"/>
      <c r="F84" s="3"/>
      <c r="G84" s="3"/>
      <c r="H84" s="3"/>
      <c r="I84" s="480"/>
      <c r="K84" s="8"/>
      <c r="L84" s="8"/>
      <c r="M84" s="8"/>
    </row>
    <row r="85" s="1" customFormat="1" ht="15.75" spans="1:13">
      <c r="A85" s="3"/>
      <c r="B85" s="3"/>
      <c r="C85" s="3"/>
      <c r="D85" s="3"/>
      <c r="E85" s="3"/>
      <c r="F85" s="3"/>
      <c r="G85" s="3"/>
      <c r="H85" s="3"/>
      <c r="I85" s="480"/>
      <c r="K85" s="8"/>
      <c r="L85" s="8"/>
      <c r="M85" s="8"/>
    </row>
    <row r="86" s="1" customFormat="1" ht="15.75" spans="1:13">
      <c r="A86" s="3"/>
      <c r="B86" s="3"/>
      <c r="C86" s="3"/>
      <c r="D86" s="3"/>
      <c r="E86" s="3"/>
      <c r="F86" s="3"/>
      <c r="G86" s="3"/>
      <c r="H86" s="3"/>
      <c r="I86" s="480"/>
      <c r="K86" s="8"/>
      <c r="L86" s="8"/>
      <c r="M86" s="8"/>
    </row>
  </sheetData>
  <mergeCells count="28">
    <mergeCell ref="B30:I30"/>
    <mergeCell ref="B57:I57"/>
    <mergeCell ref="A79:D79"/>
    <mergeCell ref="A4:A8"/>
    <mergeCell ref="A9:A21"/>
    <mergeCell ref="A22:A25"/>
    <mergeCell ref="A26:A29"/>
    <mergeCell ref="A31:A35"/>
    <mergeCell ref="A36:A39"/>
    <mergeCell ref="A40:A45"/>
    <mergeCell ref="A47:A48"/>
    <mergeCell ref="A49:A52"/>
    <mergeCell ref="A53:A55"/>
    <mergeCell ref="A59:A62"/>
    <mergeCell ref="A63:A72"/>
    <mergeCell ref="B4:B8"/>
    <mergeCell ref="B9:B21"/>
    <mergeCell ref="B22:B25"/>
    <mergeCell ref="B26:B29"/>
    <mergeCell ref="B31:B35"/>
    <mergeCell ref="B36:B39"/>
    <mergeCell ref="B40:B45"/>
    <mergeCell ref="B47:B48"/>
    <mergeCell ref="B49:B52"/>
    <mergeCell ref="B53:B55"/>
    <mergeCell ref="B59:B62"/>
    <mergeCell ref="B63:B72"/>
    <mergeCell ref="A73:D78"/>
  </mergeCells>
  <pageMargins left="0.118110236220472" right="0.118110236220472" top="0.15748031496063" bottom="0.15748031496063" header="0.31496062992126" footer="0.31496062992126"/>
  <pageSetup paperSize="9" scale="54" orientation="portrait" horizontalDpi="600" vertic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01"/>
  <sheetViews>
    <sheetView topLeftCell="A12" workbookViewId="0">
      <selection activeCell="E51" sqref="E51"/>
    </sheetView>
  </sheetViews>
  <sheetFormatPr defaultColWidth="39" defaultRowHeight="15"/>
  <cols>
    <col min="1" max="1" width="7.85714285714286" style="3" customWidth="1"/>
    <col min="2" max="2" width="38.4285714285714" style="3" customWidth="1"/>
    <col min="3" max="3" width="7.57142857142857" style="3" customWidth="1"/>
    <col min="4" max="4" width="8.57142857142857" style="3" customWidth="1"/>
    <col min="5" max="5" width="18" style="2" customWidth="1"/>
    <col min="6" max="7" width="15.4285714285714" style="2" customWidth="1"/>
    <col min="8" max="8" width="17.4190476190476" style="2" customWidth="1"/>
    <col min="9" max="9" width="17.1428571428571" style="2" customWidth="1"/>
    <col min="10" max="10" width="17.2857142857143" style="2" customWidth="1"/>
    <col min="11" max="13" width="7" style="3" customWidth="1"/>
    <col min="14" max="14" width="9.85714285714286" style="4" customWidth="1"/>
    <col min="15" max="15" width="11.1428571428571" style="5" customWidth="1"/>
    <col min="16" max="16" width="14.7142857142857" style="6" hidden="1" customWidth="1"/>
    <col min="17" max="17" width="39" style="7" hidden="1" customWidth="1"/>
    <col min="18" max="16384" width="39" style="8"/>
  </cols>
  <sheetData>
    <row r="1" ht="18.75" hidden="1" spans="6:13">
      <c r="F1" s="9">
        <v>2023</v>
      </c>
      <c r="G1" s="9">
        <v>2024</v>
      </c>
      <c r="H1" s="9">
        <v>2025</v>
      </c>
      <c r="I1" s="9">
        <v>2026</v>
      </c>
      <c r="J1" s="9">
        <v>2027</v>
      </c>
      <c r="K1" s="46">
        <v>2028</v>
      </c>
      <c r="L1" s="46">
        <v>2029</v>
      </c>
      <c r="M1" s="46">
        <v>2030</v>
      </c>
    </row>
    <row r="2" ht="18.75" spans="10:14">
      <c r="J2" s="47" t="s">
        <v>198</v>
      </c>
      <c r="K2" s="48"/>
      <c r="L2" s="48"/>
      <c r="M2" s="49"/>
      <c r="N2" s="5"/>
    </row>
    <row r="3" ht="18.75" spans="10:14">
      <c r="J3" s="50" t="s">
        <v>171</v>
      </c>
      <c r="K3" s="8"/>
      <c r="L3" s="8"/>
      <c r="M3" s="49"/>
      <c r="N3" s="5"/>
    </row>
    <row r="4" ht="18.75" spans="10:14">
      <c r="J4" s="50" t="s">
        <v>172</v>
      </c>
      <c r="K4" s="8"/>
      <c r="L4" s="8"/>
      <c r="M4" s="49"/>
      <c r="N4" s="5"/>
    </row>
    <row r="5" ht="18.75" spans="10:14">
      <c r="J5" s="50" t="s">
        <v>173</v>
      </c>
      <c r="K5" s="8"/>
      <c r="L5" s="8"/>
      <c r="M5" s="49"/>
      <c r="N5" s="5"/>
    </row>
    <row r="6" spans="11:14">
      <c r="K6" s="8"/>
      <c r="L6" s="8"/>
      <c r="M6" s="8"/>
      <c r="N6" s="49"/>
    </row>
    <row r="7" ht="18.75" spans="10:14">
      <c r="J7" s="50" t="s">
        <v>174</v>
      </c>
      <c r="K7" s="8"/>
      <c r="M7" s="8"/>
      <c r="N7" s="49"/>
    </row>
    <row r="8" ht="18.75" spans="10:14">
      <c r="J8" s="51" t="s">
        <v>175</v>
      </c>
      <c r="K8" s="8"/>
      <c r="M8" s="8"/>
      <c r="N8" s="49"/>
    </row>
    <row r="9" ht="18.75" spans="10:14">
      <c r="J9" s="51" t="s">
        <v>176</v>
      </c>
      <c r="K9" s="8"/>
      <c r="M9" s="8"/>
      <c r="N9" s="49"/>
    </row>
    <row r="10" ht="18.75" spans="10:17">
      <c r="J10" s="51" t="s">
        <v>177</v>
      </c>
      <c r="K10" s="52"/>
      <c r="M10" s="52"/>
      <c r="N10" s="53"/>
      <c r="O10" s="54"/>
      <c r="P10" s="55"/>
      <c r="Q10" s="77"/>
    </row>
    <row r="11" ht="18.75" spans="2:17">
      <c r="B11" s="10" t="s">
        <v>178</v>
      </c>
      <c r="C11" s="10"/>
      <c r="D11" s="10"/>
      <c r="E11" s="11"/>
      <c r="F11" s="11"/>
      <c r="G11" s="11"/>
      <c r="H11" s="11"/>
      <c r="K11" s="56"/>
      <c r="L11" s="52"/>
      <c r="M11" s="52"/>
      <c r="N11" s="53"/>
      <c r="O11" s="54"/>
      <c r="P11" s="55"/>
      <c r="Q11" s="77"/>
    </row>
    <row r="12" ht="18.75" spans="11:17">
      <c r="K12" s="56"/>
      <c r="L12" s="52"/>
      <c r="M12" s="52"/>
      <c r="N12" s="53"/>
      <c r="O12" s="54"/>
      <c r="P12" s="55"/>
      <c r="Q12" s="77"/>
    </row>
    <row r="13" spans="1:16">
      <c r="A13" s="12" t="s">
        <v>134</v>
      </c>
      <c r="B13" s="13" t="s">
        <v>179</v>
      </c>
      <c r="C13" s="14" t="s">
        <v>180</v>
      </c>
      <c r="D13" s="14" t="s">
        <v>181</v>
      </c>
      <c r="E13" s="15" t="s">
        <v>138</v>
      </c>
      <c r="F13" s="15"/>
      <c r="G13" s="15"/>
      <c r="H13" s="15"/>
      <c r="I13" s="15"/>
      <c r="J13" s="15"/>
      <c r="K13" s="57"/>
      <c r="L13" s="57"/>
      <c r="M13" s="57"/>
      <c r="N13" s="58" t="s">
        <v>139</v>
      </c>
      <c r="O13" s="58" t="s">
        <v>140</v>
      </c>
      <c r="P13" s="59" t="s">
        <v>199</v>
      </c>
    </row>
    <row r="14" spans="1:16">
      <c r="A14" s="12"/>
      <c r="B14" s="13"/>
      <c r="C14" s="14"/>
      <c r="D14" s="14"/>
      <c r="E14" s="15"/>
      <c r="F14" s="16" t="s">
        <v>183</v>
      </c>
      <c r="G14" s="15"/>
      <c r="H14" s="15"/>
      <c r="I14" s="15"/>
      <c r="J14" s="15"/>
      <c r="K14" s="57"/>
      <c r="L14" s="57"/>
      <c r="M14" s="57"/>
      <c r="N14" s="58"/>
      <c r="O14" s="58"/>
      <c r="P14" s="60"/>
    </row>
    <row r="15" ht="58.5" customHeight="1" spans="1:16">
      <c r="A15" s="12"/>
      <c r="B15" s="13"/>
      <c r="C15" s="14"/>
      <c r="D15" s="14"/>
      <c r="E15" s="17" t="s">
        <v>141</v>
      </c>
      <c r="F15" s="18">
        <v>2023</v>
      </c>
      <c r="G15" s="18">
        <v>2024</v>
      </c>
      <c r="H15" s="18">
        <v>2025</v>
      </c>
      <c r="I15" s="46">
        <v>2026</v>
      </c>
      <c r="J15" s="46">
        <v>2027</v>
      </c>
      <c r="K15" s="46">
        <v>2028</v>
      </c>
      <c r="L15" s="46">
        <v>2029</v>
      </c>
      <c r="M15" s="46">
        <v>2030</v>
      </c>
      <c r="N15" s="58"/>
      <c r="O15" s="58"/>
      <c r="P15" s="61"/>
    </row>
    <row r="16" spans="1:16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58">
        <v>14</v>
      </c>
      <c r="O16" s="58">
        <v>15</v>
      </c>
      <c r="P16" s="62"/>
    </row>
    <row r="17" s="1" customFormat="1" ht="18.75" spans="1:17">
      <c r="A17" s="20" t="s">
        <v>6</v>
      </c>
      <c r="B17" s="21" t="s">
        <v>7</v>
      </c>
      <c r="C17" s="21"/>
      <c r="D17" s="21"/>
      <c r="E17" s="22"/>
      <c r="F17" s="22"/>
      <c r="G17" s="22"/>
      <c r="H17" s="22"/>
      <c r="I17" s="22"/>
      <c r="J17" s="22"/>
      <c r="K17" s="21"/>
      <c r="L17" s="21"/>
      <c r="M17" s="21"/>
      <c r="N17" s="21"/>
      <c r="O17" s="21"/>
      <c r="P17" s="63"/>
      <c r="Q17" s="78"/>
    </row>
    <row r="18" s="1" customFormat="1" ht="15.75" customHeight="1" spans="1:17">
      <c r="A18" s="23" t="s">
        <v>8</v>
      </c>
      <c r="B18" s="24" t="s">
        <v>143</v>
      </c>
      <c r="C18" s="14" t="s">
        <v>144</v>
      </c>
      <c r="D18" s="14" t="s">
        <v>144</v>
      </c>
      <c r="E18" s="25">
        <f t="shared" ref="E18:E38" si="0">F18+G18+H18+I18+J18</f>
        <v>556055166.21</v>
      </c>
      <c r="F18" s="26">
        <f t="shared" ref="F18:M18" si="1">SUM(F19:F22)</f>
        <v>164564076.58</v>
      </c>
      <c r="G18" s="26">
        <f t="shared" si="1"/>
        <v>140943112.29</v>
      </c>
      <c r="H18" s="26">
        <f t="shared" si="1"/>
        <v>129233418.09</v>
      </c>
      <c r="I18" s="26">
        <f t="shared" si="1"/>
        <v>61196343.07</v>
      </c>
      <c r="J18" s="26">
        <f t="shared" si="1"/>
        <v>60118216.18</v>
      </c>
      <c r="K18" s="26">
        <f t="shared" si="1"/>
        <v>0</v>
      </c>
      <c r="L18" s="26">
        <f t="shared" si="1"/>
        <v>0</v>
      </c>
      <c r="M18" s="26">
        <f t="shared" si="1"/>
        <v>0</v>
      </c>
      <c r="N18" s="64" t="s">
        <v>144</v>
      </c>
      <c r="O18" s="65" t="s">
        <v>144</v>
      </c>
      <c r="P18" s="66">
        <f>SUM(P19:P22)</f>
        <v>0</v>
      </c>
      <c r="Q18" s="78"/>
    </row>
    <row r="19" s="1" customFormat="1" ht="15.75" spans="1:17">
      <c r="A19" s="23"/>
      <c r="B19" s="24"/>
      <c r="C19" s="14"/>
      <c r="D19" s="14"/>
      <c r="E19" s="25">
        <f t="shared" si="0"/>
        <v>287638800.68</v>
      </c>
      <c r="F19" s="26">
        <f t="shared" ref="F19:M19" si="2">F24+F25+F32+F33</f>
        <v>141479117.43</v>
      </c>
      <c r="G19" s="26">
        <f t="shared" si="2"/>
        <v>36601639.06</v>
      </c>
      <c r="H19" s="26">
        <f t="shared" si="2"/>
        <v>36560478.15</v>
      </c>
      <c r="I19" s="26">
        <f t="shared" si="2"/>
        <v>37268682.78</v>
      </c>
      <c r="J19" s="26">
        <f t="shared" si="2"/>
        <v>35728883.26</v>
      </c>
      <c r="K19" s="26">
        <f t="shared" si="2"/>
        <v>0</v>
      </c>
      <c r="L19" s="26">
        <f t="shared" si="2"/>
        <v>0</v>
      </c>
      <c r="M19" s="26">
        <f t="shared" si="2"/>
        <v>0</v>
      </c>
      <c r="N19" s="64" t="s">
        <v>78</v>
      </c>
      <c r="O19" s="65"/>
      <c r="P19" s="66">
        <f>P24+P25+P32+P33</f>
        <v>0</v>
      </c>
      <c r="Q19" s="78"/>
    </row>
    <row r="20" s="1" customFormat="1" ht="15.75" spans="1:17">
      <c r="A20" s="23"/>
      <c r="B20" s="24"/>
      <c r="C20" s="14"/>
      <c r="D20" s="14"/>
      <c r="E20" s="25">
        <f t="shared" si="0"/>
        <v>3636635.95</v>
      </c>
      <c r="F20" s="26">
        <f t="shared" ref="F20:M20" si="3">F26+F27</f>
        <v>724063.62</v>
      </c>
      <c r="G20" s="26">
        <f t="shared" si="3"/>
        <v>746972.23</v>
      </c>
      <c r="H20" s="26">
        <f t="shared" si="3"/>
        <v>722679.7</v>
      </c>
      <c r="I20" s="26">
        <f t="shared" si="3"/>
        <v>736678.57</v>
      </c>
      <c r="J20" s="26">
        <f t="shared" si="3"/>
        <v>706241.83</v>
      </c>
      <c r="K20" s="26">
        <f t="shared" si="3"/>
        <v>0</v>
      </c>
      <c r="L20" s="26">
        <f t="shared" si="3"/>
        <v>0</v>
      </c>
      <c r="M20" s="26">
        <f t="shared" si="3"/>
        <v>0</v>
      </c>
      <c r="N20" s="64" t="s">
        <v>71</v>
      </c>
      <c r="O20" s="65"/>
      <c r="P20" s="66">
        <f>P26+P27</f>
        <v>0</v>
      </c>
      <c r="Q20" s="78"/>
    </row>
    <row r="21" s="1" customFormat="1" ht="15.75" spans="1:17">
      <c r="A21" s="23"/>
      <c r="B21" s="24"/>
      <c r="C21" s="14"/>
      <c r="D21" s="14"/>
      <c r="E21" s="25">
        <f t="shared" si="0"/>
        <v>931032.37</v>
      </c>
      <c r="F21" s="26">
        <f t="shared" ref="F21:M21" si="4">F28+F29</f>
        <v>181925.53</v>
      </c>
      <c r="G21" s="26">
        <f t="shared" si="4"/>
        <v>187681.47</v>
      </c>
      <c r="H21" s="26">
        <f t="shared" si="4"/>
        <v>187352.56</v>
      </c>
      <c r="I21" s="26">
        <f t="shared" si="4"/>
        <v>190981.72</v>
      </c>
      <c r="J21" s="26">
        <f t="shared" si="4"/>
        <v>183091.09</v>
      </c>
      <c r="K21" s="26">
        <f t="shared" si="4"/>
        <v>0</v>
      </c>
      <c r="L21" s="26">
        <f t="shared" si="4"/>
        <v>0</v>
      </c>
      <c r="M21" s="26">
        <f t="shared" si="4"/>
        <v>0</v>
      </c>
      <c r="N21" s="64" t="s">
        <v>16</v>
      </c>
      <c r="O21" s="65"/>
      <c r="P21" s="66">
        <f>P28+P29</f>
        <v>0</v>
      </c>
      <c r="Q21" s="78"/>
    </row>
    <row r="22" s="1" customFormat="1" ht="15.75" spans="1:17">
      <c r="A22" s="23"/>
      <c r="B22" s="24"/>
      <c r="C22" s="14"/>
      <c r="D22" s="14"/>
      <c r="E22" s="25">
        <f t="shared" si="0"/>
        <v>263848697.21</v>
      </c>
      <c r="F22" s="26">
        <f>F34+F35+F37+F38+F30</f>
        <v>22178970</v>
      </c>
      <c r="G22" s="26">
        <f>G34+G35+G37+G38+G30</f>
        <v>103406819.53</v>
      </c>
      <c r="H22" s="26">
        <f>H34+H35+H37+H38+H30</f>
        <v>91762907.68</v>
      </c>
      <c r="I22" s="26">
        <f>I34+I35+I37+I38+I30</f>
        <v>23000000</v>
      </c>
      <c r="J22" s="26">
        <f>J34+J35+J37+J38+J30</f>
        <v>23500000</v>
      </c>
      <c r="K22" s="26">
        <f>K34+K35+K37</f>
        <v>0</v>
      </c>
      <c r="L22" s="26">
        <f>L34+L35+L37</f>
        <v>0</v>
      </c>
      <c r="M22" s="26">
        <f>M34+M35+M37</f>
        <v>0</v>
      </c>
      <c r="N22" s="64" t="s">
        <v>73</v>
      </c>
      <c r="O22" s="65"/>
      <c r="P22" s="66"/>
      <c r="Q22" s="78"/>
    </row>
    <row r="23" s="1" customFormat="1" ht="15.75" spans="1:17">
      <c r="A23" s="23" t="s">
        <v>11</v>
      </c>
      <c r="B23" s="27" t="s">
        <v>200</v>
      </c>
      <c r="C23" s="24" t="s">
        <v>145</v>
      </c>
      <c r="D23" s="24" t="s">
        <v>123</v>
      </c>
      <c r="E23" s="25">
        <f t="shared" si="0"/>
        <v>257628367.65</v>
      </c>
      <c r="F23" s="26">
        <f>F24+F25+F26+F27+F28+F30</f>
        <v>36385106.58</v>
      </c>
      <c r="G23" s="26">
        <f t="shared" ref="G23:M23" si="5">G24+G25+G26+G27+G28+G30+G29</f>
        <v>57319903.61</v>
      </c>
      <c r="H23" s="26">
        <f t="shared" si="5"/>
        <v>89108798.21</v>
      </c>
      <c r="I23" s="26">
        <f t="shared" si="5"/>
        <v>38196343.07</v>
      </c>
      <c r="J23" s="26">
        <f t="shared" si="5"/>
        <v>36618216.18</v>
      </c>
      <c r="K23" s="26">
        <f t="shared" si="5"/>
        <v>0</v>
      </c>
      <c r="L23" s="26">
        <f t="shared" si="5"/>
        <v>0</v>
      </c>
      <c r="M23" s="26">
        <f t="shared" si="5"/>
        <v>0</v>
      </c>
      <c r="N23" s="64" t="s">
        <v>144</v>
      </c>
      <c r="O23" s="65" t="s">
        <v>144</v>
      </c>
      <c r="P23" s="66"/>
      <c r="Q23" s="78"/>
    </row>
    <row r="24" s="1" customFormat="1" ht="15.75" spans="1:17">
      <c r="A24" s="23"/>
      <c r="B24" s="27"/>
      <c r="C24" s="24"/>
      <c r="D24" s="24"/>
      <c r="E24" s="25">
        <f t="shared" si="0"/>
        <v>181638800.68</v>
      </c>
      <c r="F24" s="28">
        <v>35479117.43</v>
      </c>
      <c r="G24" s="29">
        <v>36601639.06</v>
      </c>
      <c r="H24" s="28">
        <v>36560478.15</v>
      </c>
      <c r="I24" s="28">
        <v>37268682.78</v>
      </c>
      <c r="J24" s="28">
        <v>35728883.26</v>
      </c>
      <c r="K24" s="67">
        <v>0</v>
      </c>
      <c r="L24" s="67">
        <v>0</v>
      </c>
      <c r="M24" s="67">
        <v>0</v>
      </c>
      <c r="N24" s="64" t="s">
        <v>78</v>
      </c>
      <c r="O24" s="65" t="s">
        <v>105</v>
      </c>
      <c r="P24" s="68"/>
      <c r="Q24" s="78"/>
    </row>
    <row r="25" s="1" customFormat="1" ht="15.75" spans="1:17">
      <c r="A25" s="23"/>
      <c r="B25" s="27"/>
      <c r="C25" s="24"/>
      <c r="D25" s="24"/>
      <c r="E25" s="25">
        <f t="shared" si="0"/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64" t="s">
        <v>78</v>
      </c>
      <c r="O25" s="65" t="s">
        <v>146</v>
      </c>
      <c r="P25" s="68"/>
      <c r="Q25" s="78"/>
    </row>
    <row r="26" s="1" customFormat="1" ht="15.75" spans="1:17">
      <c r="A26" s="23"/>
      <c r="B26" s="27"/>
      <c r="C26" s="24"/>
      <c r="D26" s="24"/>
      <c r="E26" s="25">
        <f t="shared" si="0"/>
        <v>3636635.95</v>
      </c>
      <c r="F26" s="28">
        <v>724063.62</v>
      </c>
      <c r="G26" s="29">
        <v>746972.23</v>
      </c>
      <c r="H26" s="28">
        <v>722679.7</v>
      </c>
      <c r="I26" s="28">
        <v>736678.57</v>
      </c>
      <c r="J26" s="28">
        <v>706241.83</v>
      </c>
      <c r="K26" s="28">
        <v>0</v>
      </c>
      <c r="L26" s="28">
        <v>0</v>
      </c>
      <c r="M26" s="28">
        <v>0</v>
      </c>
      <c r="N26" s="64" t="s">
        <v>71</v>
      </c>
      <c r="O26" s="65" t="s">
        <v>105</v>
      </c>
      <c r="P26" s="68"/>
      <c r="Q26" s="78"/>
    </row>
    <row r="27" s="1" customFormat="1" ht="15.75" spans="1:17">
      <c r="A27" s="23"/>
      <c r="B27" s="27"/>
      <c r="C27" s="24"/>
      <c r="D27" s="24"/>
      <c r="E27" s="25">
        <f t="shared" si="0"/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64" t="s">
        <v>71</v>
      </c>
      <c r="O27" s="65" t="s">
        <v>146</v>
      </c>
      <c r="P27" s="68"/>
      <c r="Q27" s="78"/>
    </row>
    <row r="28" s="1" customFormat="1" ht="15.75" spans="1:17">
      <c r="A28" s="23"/>
      <c r="B28" s="27"/>
      <c r="C28" s="24"/>
      <c r="D28" s="24"/>
      <c r="E28" s="25">
        <f t="shared" si="0"/>
        <v>931032.37</v>
      </c>
      <c r="F28" s="28">
        <v>181925.53</v>
      </c>
      <c r="G28" s="29">
        <v>187681.47</v>
      </c>
      <c r="H28" s="28">
        <v>187352.56</v>
      </c>
      <c r="I28" s="28">
        <v>190981.72</v>
      </c>
      <c r="J28" s="28">
        <v>183091.09</v>
      </c>
      <c r="K28" s="28">
        <v>0</v>
      </c>
      <c r="L28" s="28">
        <v>0</v>
      </c>
      <c r="M28" s="28">
        <v>0</v>
      </c>
      <c r="N28" s="64" t="s">
        <v>16</v>
      </c>
      <c r="O28" s="65" t="s">
        <v>105</v>
      </c>
      <c r="P28" s="68"/>
      <c r="Q28" s="78"/>
    </row>
    <row r="29" s="1" customFormat="1" ht="15.75" spans="1:17">
      <c r="A29" s="23"/>
      <c r="B29" s="27"/>
      <c r="C29" s="24"/>
      <c r="D29" s="24"/>
      <c r="E29" s="25">
        <f t="shared" si="0"/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64" t="s">
        <v>147</v>
      </c>
      <c r="O29" s="65" t="s">
        <v>146</v>
      </c>
      <c r="P29" s="68"/>
      <c r="Q29" s="78"/>
    </row>
    <row r="30" s="1" customFormat="1" ht="15.75" spans="1:17">
      <c r="A30" s="23"/>
      <c r="B30" s="27"/>
      <c r="C30" s="24"/>
      <c r="D30" s="24"/>
      <c r="E30" s="25">
        <f t="shared" si="0"/>
        <v>71421898.65</v>
      </c>
      <c r="F30" s="28">
        <v>0</v>
      </c>
      <c r="G30" s="29">
        <f>20893314.78+P30</f>
        <v>19783610.85</v>
      </c>
      <c r="H30" s="28">
        <v>51638287.8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64" t="s">
        <v>73</v>
      </c>
      <c r="O30" s="65" t="s">
        <v>105</v>
      </c>
      <c r="P30" s="68">
        <f>-572032.86+-537671.07</f>
        <v>-1109703.93</v>
      </c>
      <c r="Q30" s="78"/>
    </row>
    <row r="31" s="1" customFormat="1" ht="15.75" customHeight="1" spans="1:17">
      <c r="A31" s="23" t="s">
        <v>91</v>
      </c>
      <c r="B31" s="27" t="s">
        <v>148</v>
      </c>
      <c r="C31" s="24" t="s">
        <v>149</v>
      </c>
      <c r="D31" s="24" t="s">
        <v>150</v>
      </c>
      <c r="E31" s="25">
        <f t="shared" si="0"/>
        <v>211802178.68</v>
      </c>
      <c r="F31" s="28">
        <f t="shared" ref="F31:M31" si="6">F32+F33+F34+F35</f>
        <v>128178970</v>
      </c>
      <c r="G31" s="28">
        <f t="shared" si="6"/>
        <v>83623208.68</v>
      </c>
      <c r="H31" s="28">
        <f t="shared" si="6"/>
        <v>0</v>
      </c>
      <c r="I31" s="28">
        <f t="shared" si="6"/>
        <v>0</v>
      </c>
      <c r="J31" s="28">
        <f t="shared" si="6"/>
        <v>0</v>
      </c>
      <c r="K31" s="28">
        <f t="shared" si="6"/>
        <v>0</v>
      </c>
      <c r="L31" s="28">
        <f t="shared" si="6"/>
        <v>0</v>
      </c>
      <c r="M31" s="28">
        <f t="shared" si="6"/>
        <v>0</v>
      </c>
      <c r="N31" s="64" t="s">
        <v>144</v>
      </c>
      <c r="O31" s="65" t="s">
        <v>144</v>
      </c>
      <c r="P31" s="69">
        <f>P32+P33+P34+P35</f>
        <v>0</v>
      </c>
      <c r="Q31" s="78"/>
    </row>
    <row r="32" s="1" customFormat="1" ht="15.75" spans="1:17">
      <c r="A32" s="23"/>
      <c r="B32" s="27"/>
      <c r="C32" s="24"/>
      <c r="D32" s="24"/>
      <c r="E32" s="25">
        <f t="shared" si="0"/>
        <v>63133615.4</v>
      </c>
      <c r="F32" s="28">
        <f>106000000-37799322.82-5067061.78</f>
        <v>63133615.4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64" t="s">
        <v>78</v>
      </c>
      <c r="O32" s="65" t="s">
        <v>151</v>
      </c>
      <c r="P32" s="68"/>
      <c r="Q32" s="78"/>
    </row>
    <row r="33" s="1" customFormat="1" ht="18.75" customHeight="1" spans="1:17">
      <c r="A33" s="23"/>
      <c r="B33" s="27"/>
      <c r="C33" s="24"/>
      <c r="D33" s="24"/>
      <c r="E33" s="25">
        <f t="shared" si="0"/>
        <v>42866384.6</v>
      </c>
      <c r="F33" s="28">
        <f>37799322.82+5067061.78</f>
        <v>42866384.6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64" t="s">
        <v>78</v>
      </c>
      <c r="O33" s="65" t="s">
        <v>152</v>
      </c>
      <c r="P33" s="68"/>
      <c r="Q33" s="78"/>
    </row>
    <row r="34" s="1" customFormat="1" ht="19.5" customHeight="1" spans="1:17">
      <c r="A34" s="23"/>
      <c r="B34" s="27"/>
      <c r="C34" s="24"/>
      <c r="D34" s="24"/>
      <c r="E34" s="25">
        <f t="shared" si="0"/>
        <v>66379321.57</v>
      </c>
      <c r="F34" s="28">
        <f>(22776970-598000)-1422857.11</f>
        <v>20756112.89</v>
      </c>
      <c r="G34" s="28">
        <f>33623208.68+12000000</f>
        <v>45623208.68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64" t="s">
        <v>73</v>
      </c>
      <c r="O34" s="65" t="s">
        <v>151</v>
      </c>
      <c r="P34" s="68"/>
      <c r="Q34" s="78"/>
    </row>
    <row r="35" s="1" customFormat="1" ht="16.5" customHeight="1" spans="1:17">
      <c r="A35" s="23"/>
      <c r="B35" s="27"/>
      <c r="C35" s="24"/>
      <c r="D35" s="24"/>
      <c r="E35" s="25">
        <f t="shared" si="0"/>
        <v>39422857.11</v>
      </c>
      <c r="F35" s="28">
        <v>1422857.11</v>
      </c>
      <c r="G35" s="28">
        <v>38000000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64" t="s">
        <v>73</v>
      </c>
      <c r="O35" s="65" t="s">
        <v>152</v>
      </c>
      <c r="P35" s="68"/>
      <c r="Q35" s="78"/>
    </row>
    <row r="36" s="1" customFormat="1" ht="15.75" customHeight="1" spans="1:17">
      <c r="A36" s="30" t="s">
        <v>201</v>
      </c>
      <c r="B36" s="31" t="s">
        <v>202</v>
      </c>
      <c r="C36" s="32" t="s">
        <v>149</v>
      </c>
      <c r="D36" s="32" t="s">
        <v>203</v>
      </c>
      <c r="E36" s="25">
        <f t="shared" si="0"/>
        <v>86624619.88</v>
      </c>
      <c r="F36" s="28">
        <f t="shared" ref="F36:M36" si="7">F37+F38</f>
        <v>0</v>
      </c>
      <c r="G36" s="28">
        <f t="shared" si="7"/>
        <v>0</v>
      </c>
      <c r="H36" s="28">
        <f t="shared" si="7"/>
        <v>40124619.88</v>
      </c>
      <c r="I36" s="28">
        <f t="shared" si="7"/>
        <v>23000000</v>
      </c>
      <c r="J36" s="28">
        <f t="shared" si="7"/>
        <v>23500000</v>
      </c>
      <c r="K36" s="28">
        <f t="shared" si="7"/>
        <v>0</v>
      </c>
      <c r="L36" s="28">
        <f t="shared" si="7"/>
        <v>0</v>
      </c>
      <c r="M36" s="28">
        <f t="shared" si="7"/>
        <v>0</v>
      </c>
      <c r="N36" s="64" t="s">
        <v>144</v>
      </c>
      <c r="O36" s="65" t="s">
        <v>144</v>
      </c>
      <c r="P36" s="69" t="e">
        <f>#REF!+#REF!+P37+#REF!</f>
        <v>#REF!</v>
      </c>
      <c r="Q36" s="78"/>
    </row>
    <row r="37" s="1" customFormat="1" ht="19.5" customHeight="1" spans="1:17">
      <c r="A37" s="33"/>
      <c r="B37" s="34"/>
      <c r="C37" s="35"/>
      <c r="D37" s="35"/>
      <c r="E37" s="25">
        <f t="shared" si="0"/>
        <v>86624619.88</v>
      </c>
      <c r="F37" s="28">
        <v>0</v>
      </c>
      <c r="G37" s="28">
        <v>0</v>
      </c>
      <c r="H37" s="28">
        <f>7343359.2+4656640.8+28124619.88</f>
        <v>40124619.88</v>
      </c>
      <c r="I37" s="28">
        <v>23000000</v>
      </c>
      <c r="J37" s="28">
        <v>23500000</v>
      </c>
      <c r="K37" s="28">
        <v>0</v>
      </c>
      <c r="L37" s="28">
        <v>0</v>
      </c>
      <c r="M37" s="28">
        <v>0</v>
      </c>
      <c r="N37" s="64" t="s">
        <v>73</v>
      </c>
      <c r="O37" s="65" t="s">
        <v>151</v>
      </c>
      <c r="P37" s="68"/>
      <c r="Q37" s="78"/>
    </row>
    <row r="38" s="1" customFormat="1" ht="19.5" customHeight="1" spans="1:17">
      <c r="A38" s="36"/>
      <c r="B38" s="37"/>
      <c r="C38" s="38"/>
      <c r="D38" s="38"/>
      <c r="E38" s="25">
        <f t="shared" si="0"/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64" t="s">
        <v>73</v>
      </c>
      <c r="O38" s="65" t="s">
        <v>152</v>
      </c>
      <c r="P38" s="68"/>
      <c r="Q38" s="78"/>
    </row>
    <row r="39" ht="18.75" spans="1:16">
      <c r="A39" s="39" t="s">
        <v>36</v>
      </c>
      <c r="B39" s="39" t="s">
        <v>37</v>
      </c>
      <c r="C39" s="39"/>
      <c r="D39" s="39"/>
      <c r="E39" s="40"/>
      <c r="F39" s="40"/>
      <c r="G39" s="40"/>
      <c r="H39" s="40"/>
      <c r="I39" s="40"/>
      <c r="J39" s="40"/>
      <c r="K39" s="39"/>
      <c r="L39" s="39"/>
      <c r="M39" s="39"/>
      <c r="N39" s="39"/>
      <c r="O39" s="39"/>
      <c r="P39" s="70"/>
    </row>
    <row r="40" spans="1:16">
      <c r="A40" s="41" t="s">
        <v>38</v>
      </c>
      <c r="B40" s="24" t="s">
        <v>153</v>
      </c>
      <c r="C40" s="14" t="s">
        <v>144</v>
      </c>
      <c r="D40" s="14" t="s">
        <v>144</v>
      </c>
      <c r="E40" s="42">
        <f t="shared" ref="E40:E63" si="8">F40+G40+H40+I40+J40+K40+L40+M40</f>
        <v>461431852.52</v>
      </c>
      <c r="F40" s="25">
        <f t="shared" ref="F40:M40" si="9">F41+F42+F43+F44</f>
        <v>138310399.39</v>
      </c>
      <c r="G40" s="25">
        <f t="shared" si="9"/>
        <v>141966454.14</v>
      </c>
      <c r="H40" s="42">
        <f t="shared" si="9"/>
        <v>17813845.46</v>
      </c>
      <c r="I40" s="25">
        <f t="shared" si="9"/>
        <v>80819841.59</v>
      </c>
      <c r="J40" s="25">
        <f t="shared" si="9"/>
        <v>82521311.94</v>
      </c>
      <c r="K40" s="25">
        <f t="shared" si="9"/>
        <v>0</v>
      </c>
      <c r="L40" s="25">
        <f t="shared" si="9"/>
        <v>0</v>
      </c>
      <c r="M40" s="25">
        <f t="shared" si="9"/>
        <v>0</v>
      </c>
      <c r="N40" s="64" t="s">
        <v>144</v>
      </c>
      <c r="O40" s="65" t="s">
        <v>144</v>
      </c>
      <c r="P40" s="71">
        <f>P41+P42+P43+P44</f>
        <v>1118935.41</v>
      </c>
    </row>
    <row r="41" spans="1:16">
      <c r="A41" s="41"/>
      <c r="B41" s="24"/>
      <c r="C41" s="14"/>
      <c r="D41" s="14"/>
      <c r="E41" s="25">
        <f t="shared" si="8"/>
        <v>105382544.87</v>
      </c>
      <c r="F41" s="25">
        <f>F53+F56</f>
        <v>84818282.07</v>
      </c>
      <c r="G41" s="25">
        <f>G53+G56</f>
        <v>20564262.8</v>
      </c>
      <c r="H41" s="25">
        <f>H53+H56</f>
        <v>0</v>
      </c>
      <c r="I41" s="25">
        <f>I53+I56</f>
        <v>0</v>
      </c>
      <c r="J41" s="25">
        <f>J53</f>
        <v>0</v>
      </c>
      <c r="K41" s="25">
        <f>K53</f>
        <v>0</v>
      </c>
      <c r="L41" s="25">
        <f>L53</f>
        <v>0</v>
      </c>
      <c r="M41" s="25">
        <f>M53</f>
        <v>0</v>
      </c>
      <c r="N41" s="25" t="s">
        <v>14</v>
      </c>
      <c r="O41" s="72"/>
      <c r="P41" s="71">
        <f>P53+P56</f>
        <v>0</v>
      </c>
    </row>
    <row r="42" spans="1:16">
      <c r="A42" s="41"/>
      <c r="B42" s="24"/>
      <c r="C42" s="14"/>
      <c r="D42" s="14"/>
      <c r="E42" s="42">
        <f t="shared" si="8"/>
        <v>267890633.24</v>
      </c>
      <c r="F42" s="25">
        <f>F46+F57</f>
        <v>32086740.83</v>
      </c>
      <c r="G42" s="25">
        <f>G46+G57</f>
        <v>78013399.73</v>
      </c>
      <c r="H42" s="42">
        <f>H46+H57</f>
        <v>1000000</v>
      </c>
      <c r="I42" s="25">
        <f>I46+I57</f>
        <v>78395246.34</v>
      </c>
      <c r="J42" s="25">
        <f>J46</f>
        <v>78395246.34</v>
      </c>
      <c r="K42" s="25">
        <f>K46</f>
        <v>0</v>
      </c>
      <c r="L42" s="25">
        <f>L46</f>
        <v>0</v>
      </c>
      <c r="M42" s="25">
        <f>M46</f>
        <v>0</v>
      </c>
      <c r="N42" s="64" t="s">
        <v>15</v>
      </c>
      <c r="O42" s="72"/>
      <c r="P42" s="71">
        <f>P46+P57</f>
        <v>0</v>
      </c>
    </row>
    <row r="43" spans="1:16">
      <c r="A43" s="41"/>
      <c r="B43" s="24"/>
      <c r="C43" s="14"/>
      <c r="D43" s="14"/>
      <c r="E43" s="42">
        <f t="shared" si="8"/>
        <v>11196415.76</v>
      </c>
      <c r="F43" s="25">
        <f>F47+F54+F59</f>
        <v>1849123.76</v>
      </c>
      <c r="G43" s="25">
        <f>G47+G54+G58</f>
        <v>2611764.81</v>
      </c>
      <c r="H43" s="42">
        <f>H47+H54+H58</f>
        <v>184866.34</v>
      </c>
      <c r="I43" s="25">
        <f>I47+I54+I59</f>
        <v>2424595.25</v>
      </c>
      <c r="J43" s="25">
        <f>J47+J54</f>
        <v>4126065.6</v>
      </c>
      <c r="K43" s="25">
        <f>K47+K54</f>
        <v>0</v>
      </c>
      <c r="L43" s="25">
        <f>L47+L54</f>
        <v>0</v>
      </c>
      <c r="M43" s="25">
        <f>M47+M54</f>
        <v>0</v>
      </c>
      <c r="N43" s="64" t="s">
        <v>16</v>
      </c>
      <c r="O43" s="73"/>
      <c r="P43" s="71">
        <f>P47+P54+P58</f>
        <v>0</v>
      </c>
    </row>
    <row r="44" spans="1:16">
      <c r="A44" s="41"/>
      <c r="B44" s="24"/>
      <c r="C44" s="14"/>
      <c r="D44" s="14"/>
      <c r="E44" s="42">
        <f t="shared" si="8"/>
        <v>76962258.65</v>
      </c>
      <c r="F44" s="25">
        <f>F60+F59</f>
        <v>19556252.73</v>
      </c>
      <c r="G44" s="25">
        <f>G60+G59</f>
        <v>40777026.8</v>
      </c>
      <c r="H44" s="42">
        <f>+H62+H63+H61+H59</f>
        <v>16628979.12</v>
      </c>
      <c r="I44" s="25">
        <f>I60+I59</f>
        <v>0</v>
      </c>
      <c r="J44" s="25">
        <f>J60+J59</f>
        <v>0</v>
      </c>
      <c r="K44" s="25">
        <f>K60+K59</f>
        <v>0</v>
      </c>
      <c r="L44" s="25">
        <f>L60+L59</f>
        <v>0</v>
      </c>
      <c r="M44" s="25">
        <f>M60+M59</f>
        <v>0</v>
      </c>
      <c r="N44" s="25" t="s">
        <v>17</v>
      </c>
      <c r="O44" s="73"/>
      <c r="P44" s="71">
        <f>P60+P59</f>
        <v>1118935.41</v>
      </c>
    </row>
    <row r="45" ht="15.75" spans="1:16">
      <c r="A45" s="43" t="s">
        <v>40</v>
      </c>
      <c r="B45" s="27" t="s">
        <v>81</v>
      </c>
      <c r="C45" s="24" t="s">
        <v>154</v>
      </c>
      <c r="D45" s="14" t="s">
        <v>144</v>
      </c>
      <c r="E45" s="42">
        <f t="shared" si="8"/>
        <v>277444722.32</v>
      </c>
      <c r="F45" s="26">
        <f t="shared" ref="F45:M45" si="10">SUM(F46:F47)</f>
        <v>33079114.26</v>
      </c>
      <c r="G45" s="26">
        <f t="shared" si="10"/>
        <v>79993526.69</v>
      </c>
      <c r="H45" s="44">
        <f t="shared" si="10"/>
        <v>1030927.84</v>
      </c>
      <c r="I45" s="26">
        <f t="shared" si="10"/>
        <v>80819841.59</v>
      </c>
      <c r="J45" s="26">
        <f t="shared" si="10"/>
        <v>82521311.94</v>
      </c>
      <c r="K45" s="26">
        <f t="shared" si="10"/>
        <v>0</v>
      </c>
      <c r="L45" s="26">
        <f t="shared" si="10"/>
        <v>0</v>
      </c>
      <c r="M45" s="26">
        <f t="shared" si="10"/>
        <v>0</v>
      </c>
      <c r="N45" s="64" t="s">
        <v>144</v>
      </c>
      <c r="O45" s="74" t="s">
        <v>155</v>
      </c>
      <c r="P45" s="66">
        <f>SUM(P46:P47)</f>
        <v>0</v>
      </c>
    </row>
    <row r="46" ht="15.75" spans="1:16">
      <c r="A46" s="43"/>
      <c r="B46" s="27"/>
      <c r="C46" s="24"/>
      <c r="D46" s="14"/>
      <c r="E46" s="42">
        <f t="shared" si="8"/>
        <v>267470954.4</v>
      </c>
      <c r="F46" s="28">
        <f t="shared" ref="F46:M46" si="11">F48+F49</f>
        <v>32086740.83</v>
      </c>
      <c r="G46" s="28">
        <f t="shared" si="11"/>
        <v>77593720.89</v>
      </c>
      <c r="H46" s="45">
        <f t="shared" si="11"/>
        <v>1000000</v>
      </c>
      <c r="I46" s="28">
        <f t="shared" si="11"/>
        <v>78395246.34</v>
      </c>
      <c r="J46" s="28">
        <f t="shared" si="11"/>
        <v>78395246.34</v>
      </c>
      <c r="K46" s="28">
        <f t="shared" si="11"/>
        <v>0</v>
      </c>
      <c r="L46" s="28">
        <f t="shared" si="11"/>
        <v>0</v>
      </c>
      <c r="M46" s="28">
        <f t="shared" si="11"/>
        <v>0</v>
      </c>
      <c r="N46" s="64" t="s">
        <v>15</v>
      </c>
      <c r="O46" s="74"/>
      <c r="P46" s="69">
        <f>P48+P49</f>
        <v>0</v>
      </c>
    </row>
    <row r="47" ht="19.5" customHeight="1" spans="1:16">
      <c r="A47" s="43"/>
      <c r="B47" s="27"/>
      <c r="C47" s="24"/>
      <c r="D47" s="14"/>
      <c r="E47" s="42">
        <f t="shared" si="8"/>
        <v>9973767.92</v>
      </c>
      <c r="F47" s="28">
        <f t="shared" ref="F47:M47" si="12">F50+F51</f>
        <v>992373.43</v>
      </c>
      <c r="G47" s="28">
        <f t="shared" si="12"/>
        <v>2399805.8</v>
      </c>
      <c r="H47" s="45">
        <f t="shared" si="12"/>
        <v>30927.84</v>
      </c>
      <c r="I47" s="28">
        <f t="shared" si="12"/>
        <v>2424595.25</v>
      </c>
      <c r="J47" s="28">
        <f t="shared" si="12"/>
        <v>4126065.6</v>
      </c>
      <c r="K47" s="28">
        <f t="shared" si="12"/>
        <v>0</v>
      </c>
      <c r="L47" s="28">
        <f t="shared" si="12"/>
        <v>0</v>
      </c>
      <c r="M47" s="28">
        <f t="shared" si="12"/>
        <v>0</v>
      </c>
      <c r="N47" s="64" t="s">
        <v>16</v>
      </c>
      <c r="O47" s="74"/>
      <c r="P47" s="69">
        <f>P50+P51</f>
        <v>0</v>
      </c>
    </row>
    <row r="48" ht="15.75" customHeight="1" spans="1:16">
      <c r="A48" s="43" t="s">
        <v>42</v>
      </c>
      <c r="B48" s="27" t="s">
        <v>156</v>
      </c>
      <c r="C48" s="24" t="s">
        <v>154</v>
      </c>
      <c r="D48" s="24" t="s">
        <v>157</v>
      </c>
      <c r="E48" s="25">
        <f t="shared" si="8"/>
        <v>255785646.43</v>
      </c>
      <c r="F48" s="28">
        <f>26400000-3212200.47</f>
        <v>23187799.53</v>
      </c>
      <c r="G48" s="28">
        <v>75807354.22</v>
      </c>
      <c r="H48" s="28">
        <v>0</v>
      </c>
      <c r="I48" s="28">
        <v>78395246.34</v>
      </c>
      <c r="J48" s="28">
        <v>78395246.34</v>
      </c>
      <c r="K48" s="28">
        <v>0</v>
      </c>
      <c r="L48" s="28">
        <v>0</v>
      </c>
      <c r="M48" s="28">
        <v>0</v>
      </c>
      <c r="N48" s="64" t="s">
        <v>71</v>
      </c>
      <c r="O48" s="72" t="s">
        <v>105</v>
      </c>
      <c r="P48" s="68">
        <v>0</v>
      </c>
    </row>
    <row r="49" ht="15.75" spans="1:16">
      <c r="A49" s="43"/>
      <c r="B49" s="27"/>
      <c r="C49" s="24"/>
      <c r="D49" s="24"/>
      <c r="E49" s="42">
        <f t="shared" si="8"/>
        <v>11685307.97</v>
      </c>
      <c r="F49" s="28">
        <f>5686740.83+3212200.47</f>
        <v>8898941.3</v>
      </c>
      <c r="G49" s="28">
        <v>1786366.67</v>
      </c>
      <c r="H49" s="45">
        <v>1000000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64" t="s">
        <v>71</v>
      </c>
      <c r="O49" s="72" t="s">
        <v>146</v>
      </c>
      <c r="P49" s="68">
        <v>0</v>
      </c>
    </row>
    <row r="50" ht="15.75" spans="1:16">
      <c r="A50" s="43"/>
      <c r="B50" s="27"/>
      <c r="C50" s="24"/>
      <c r="D50" s="24"/>
      <c r="E50" s="25">
        <f t="shared" si="8"/>
        <v>9612366.64</v>
      </c>
      <c r="F50" s="28">
        <f>816494.85-99346.41</f>
        <v>717148.44</v>
      </c>
      <c r="G50" s="28">
        <f>(2375317.99+24487.81)-55248.45</f>
        <v>2344557.35</v>
      </c>
      <c r="H50" s="28">
        <v>0</v>
      </c>
      <c r="I50" s="28">
        <v>2424595.25</v>
      </c>
      <c r="J50" s="28">
        <v>4126065.6</v>
      </c>
      <c r="K50" s="28">
        <v>0</v>
      </c>
      <c r="L50" s="28">
        <v>0</v>
      </c>
      <c r="M50" s="28">
        <v>0</v>
      </c>
      <c r="N50" s="64" t="s">
        <v>147</v>
      </c>
      <c r="O50" s="72" t="s">
        <v>105</v>
      </c>
      <c r="P50" s="68">
        <v>0</v>
      </c>
    </row>
    <row r="51" ht="15.75" customHeight="1" spans="1:16">
      <c r="A51" s="43"/>
      <c r="B51" s="27"/>
      <c r="C51" s="24"/>
      <c r="D51" s="24"/>
      <c r="E51" s="42">
        <f t="shared" si="8"/>
        <v>361401.28</v>
      </c>
      <c r="F51" s="28">
        <f>175878.58+99346.41</f>
        <v>275224.99</v>
      </c>
      <c r="G51" s="28">
        <v>55248.45</v>
      </c>
      <c r="H51" s="45">
        <v>30927.84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64" t="s">
        <v>147</v>
      </c>
      <c r="O51" s="72" t="s">
        <v>146</v>
      </c>
      <c r="P51" s="68">
        <v>0</v>
      </c>
    </row>
    <row r="52" ht="30" customHeight="1" spans="1:16">
      <c r="A52" s="43" t="s">
        <v>48</v>
      </c>
      <c r="B52" s="27" t="s">
        <v>184</v>
      </c>
      <c r="C52" s="24" t="s">
        <v>158</v>
      </c>
      <c r="D52" s="24">
        <v>2023</v>
      </c>
      <c r="E52" s="25">
        <f t="shared" si="8"/>
        <v>85675032.4</v>
      </c>
      <c r="F52" s="26">
        <f t="shared" ref="F52:M52" si="13">SUM(F53:F54)</f>
        <v>85675032.4</v>
      </c>
      <c r="G52" s="26">
        <f t="shared" si="13"/>
        <v>0</v>
      </c>
      <c r="H52" s="26">
        <f t="shared" si="13"/>
        <v>0</v>
      </c>
      <c r="I52" s="26">
        <f t="shared" si="13"/>
        <v>0</v>
      </c>
      <c r="J52" s="26">
        <f t="shared" si="13"/>
        <v>0</v>
      </c>
      <c r="K52" s="26">
        <f t="shared" si="13"/>
        <v>0</v>
      </c>
      <c r="L52" s="26">
        <f t="shared" si="13"/>
        <v>0</v>
      </c>
      <c r="M52" s="26">
        <f t="shared" si="13"/>
        <v>0</v>
      </c>
      <c r="N52" s="64" t="s">
        <v>144</v>
      </c>
      <c r="O52" s="65" t="s">
        <v>144</v>
      </c>
      <c r="P52" s="66">
        <f>SUM(P53:P54)</f>
        <v>0</v>
      </c>
    </row>
    <row r="53" ht="19.5" customHeight="1" spans="1:16">
      <c r="A53" s="43"/>
      <c r="B53" s="27"/>
      <c r="C53" s="24"/>
      <c r="D53" s="24"/>
      <c r="E53" s="25">
        <f t="shared" si="8"/>
        <v>84818282.07</v>
      </c>
      <c r="F53" s="28">
        <v>84818282.07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64" t="s">
        <v>78</v>
      </c>
      <c r="O53" s="75" t="s">
        <v>105</v>
      </c>
      <c r="P53" s="68">
        <v>0</v>
      </c>
    </row>
    <row r="54" ht="15.75" spans="1:16">
      <c r="A54" s="43"/>
      <c r="B54" s="27"/>
      <c r="C54" s="24"/>
      <c r="D54" s="24"/>
      <c r="E54" s="25">
        <f t="shared" si="8"/>
        <v>856750.33</v>
      </c>
      <c r="F54" s="28">
        <v>856750.33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64" t="s">
        <v>147</v>
      </c>
      <c r="O54" s="75"/>
      <c r="P54" s="68">
        <v>0</v>
      </c>
    </row>
    <row r="55" ht="23.25" customHeight="1" spans="1:16">
      <c r="A55" s="43" t="s">
        <v>83</v>
      </c>
      <c r="B55" s="27" t="s">
        <v>127</v>
      </c>
      <c r="C55" s="24" t="s">
        <v>159</v>
      </c>
      <c r="D55" s="24">
        <v>2024</v>
      </c>
      <c r="E55" s="25">
        <f t="shared" si="8"/>
        <v>51488746.2</v>
      </c>
      <c r="F55" s="26">
        <f t="shared" ref="F55:M55" si="14">SUM(F56:F59)</f>
        <v>0</v>
      </c>
      <c r="G55" s="26">
        <f t="shared" si="14"/>
        <v>48894475.6</v>
      </c>
      <c r="H55" s="26">
        <f t="shared" si="14"/>
        <v>2594270.6</v>
      </c>
      <c r="I55" s="26">
        <f t="shared" si="14"/>
        <v>0</v>
      </c>
      <c r="J55" s="26">
        <f t="shared" si="14"/>
        <v>0</v>
      </c>
      <c r="K55" s="26">
        <f t="shared" si="14"/>
        <v>0</v>
      </c>
      <c r="L55" s="26">
        <f t="shared" si="14"/>
        <v>0</v>
      </c>
      <c r="M55" s="26">
        <f t="shared" si="14"/>
        <v>0</v>
      </c>
      <c r="N55" s="64" t="s">
        <v>144</v>
      </c>
      <c r="O55" s="65" t="s">
        <v>144</v>
      </c>
      <c r="P55" s="66">
        <f>SUM(P56:P59)</f>
        <v>1118935.41</v>
      </c>
    </row>
    <row r="56" ht="15.75" spans="1:16">
      <c r="A56" s="43"/>
      <c r="B56" s="27"/>
      <c r="C56" s="24"/>
      <c r="D56" s="24"/>
      <c r="E56" s="25">
        <f t="shared" si="8"/>
        <v>20564262.8</v>
      </c>
      <c r="F56" s="28">
        <v>0</v>
      </c>
      <c r="G56" s="28">
        <v>20564262.8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64" t="s">
        <v>78</v>
      </c>
      <c r="O56" s="76" t="s">
        <v>105</v>
      </c>
      <c r="P56" s="68"/>
    </row>
    <row r="57" ht="15.75" spans="1:16">
      <c r="A57" s="43"/>
      <c r="B57" s="27"/>
      <c r="C57" s="24"/>
      <c r="D57" s="24"/>
      <c r="E57" s="25">
        <f t="shared" si="8"/>
        <v>419678.84</v>
      </c>
      <c r="F57" s="28">
        <v>0</v>
      </c>
      <c r="G57" s="28">
        <v>419678.84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64" t="s">
        <v>71</v>
      </c>
      <c r="O57" s="76"/>
      <c r="P57" s="68"/>
    </row>
    <row r="58" ht="15.75" spans="1:16">
      <c r="A58" s="43"/>
      <c r="B58" s="27"/>
      <c r="C58" s="24"/>
      <c r="D58" s="24"/>
      <c r="E58" s="25">
        <f t="shared" si="8"/>
        <v>365897.51</v>
      </c>
      <c r="F58" s="28">
        <v>0</v>
      </c>
      <c r="G58" s="28">
        <v>211959.01</v>
      </c>
      <c r="H58" s="28">
        <v>153938.5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64" t="s">
        <v>147</v>
      </c>
      <c r="O58" s="76"/>
      <c r="P58" s="68"/>
    </row>
    <row r="59" ht="15.75" spans="1:16">
      <c r="A59" s="43"/>
      <c r="B59" s="27"/>
      <c r="C59" s="24"/>
      <c r="D59" s="24"/>
      <c r="E59" s="25">
        <f t="shared" si="8"/>
        <v>30138907.05</v>
      </c>
      <c r="F59" s="28">
        <v>0</v>
      </c>
      <c r="G59" s="28">
        <f>26579639.54+P59</f>
        <v>27698574.95</v>
      </c>
      <c r="H59" s="28">
        <v>2440332.1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64" t="s">
        <v>73</v>
      </c>
      <c r="O59" s="76"/>
      <c r="P59" s="68">
        <f>9231.48+572032.86+537671.07</f>
        <v>1118935.41</v>
      </c>
    </row>
    <row r="60" s="1" customFormat="1" ht="15.75" spans="1:17">
      <c r="A60" s="43" t="s">
        <v>128</v>
      </c>
      <c r="B60" s="27" t="s">
        <v>129</v>
      </c>
      <c r="C60" s="24" t="s">
        <v>145</v>
      </c>
      <c r="D60" s="24" t="s">
        <v>123</v>
      </c>
      <c r="E60" s="42">
        <f t="shared" si="8"/>
        <v>46823351.6</v>
      </c>
      <c r="F60" s="26">
        <f>F62+F61+F63</f>
        <v>19556252.73</v>
      </c>
      <c r="G60" s="26">
        <f>G62+G61+G63</f>
        <v>13078451.85</v>
      </c>
      <c r="H60" s="44">
        <f t="shared" ref="H60:M60" si="15">H62+H61</f>
        <v>14188647.02</v>
      </c>
      <c r="I60" s="26">
        <f t="shared" si="15"/>
        <v>0</v>
      </c>
      <c r="J60" s="26">
        <f t="shared" si="15"/>
        <v>0</v>
      </c>
      <c r="K60" s="26">
        <f t="shared" si="15"/>
        <v>0</v>
      </c>
      <c r="L60" s="26">
        <f t="shared" si="15"/>
        <v>0</v>
      </c>
      <c r="M60" s="26">
        <f t="shared" si="15"/>
        <v>0</v>
      </c>
      <c r="N60" s="64" t="s">
        <v>144</v>
      </c>
      <c r="O60" s="65" t="s">
        <v>144</v>
      </c>
      <c r="P60" s="69">
        <f>P62+P61+P63</f>
        <v>0</v>
      </c>
      <c r="Q60" s="78"/>
    </row>
    <row r="61" s="1" customFormat="1" ht="15.75" spans="1:17">
      <c r="A61" s="43"/>
      <c r="B61" s="27"/>
      <c r="C61" s="24"/>
      <c r="D61" s="24"/>
      <c r="E61" s="42">
        <f t="shared" si="8"/>
        <v>37404991.14</v>
      </c>
      <c r="F61" s="28">
        <v>14358252.73</v>
      </c>
      <c r="G61" s="28">
        <f>1749443.35+249648.04+6859000+P61</f>
        <v>8858091.39</v>
      </c>
      <c r="H61" s="45">
        <f>(10000000+2691435.32+22000+500910.14+405729.4+300000+299500)-30927.84</f>
        <v>14188647.02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64" t="s">
        <v>73</v>
      </c>
      <c r="O61" s="65" t="s">
        <v>105</v>
      </c>
      <c r="P61" s="68"/>
      <c r="Q61" s="78"/>
    </row>
    <row r="62" s="1" customFormat="1" ht="15.75" spans="1:17">
      <c r="A62" s="43"/>
      <c r="B62" s="27"/>
      <c r="C62" s="24"/>
      <c r="D62" s="24"/>
      <c r="E62" s="25">
        <f t="shared" si="8"/>
        <v>7538360.46</v>
      </c>
      <c r="F62" s="28">
        <v>4600000</v>
      </c>
      <c r="G62" s="28">
        <v>2938360.46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64" t="s">
        <v>73</v>
      </c>
      <c r="O62" s="65" t="s">
        <v>146</v>
      </c>
      <c r="P62" s="68"/>
      <c r="Q62" s="78"/>
    </row>
    <row r="63" s="1" customFormat="1" ht="28.5" spans="1:17">
      <c r="A63" s="43"/>
      <c r="B63" s="27"/>
      <c r="C63" s="24"/>
      <c r="D63" s="24"/>
      <c r="E63" s="25">
        <f t="shared" si="8"/>
        <v>1880000</v>
      </c>
      <c r="F63" s="28">
        <v>598000</v>
      </c>
      <c r="G63" s="28">
        <v>1282000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64" t="s">
        <v>73</v>
      </c>
      <c r="O63" s="75" t="s">
        <v>101</v>
      </c>
      <c r="P63" s="68"/>
      <c r="Q63" s="78"/>
    </row>
    <row r="64" ht="18.75" spans="1:16">
      <c r="A64" s="39" t="s">
        <v>55</v>
      </c>
      <c r="B64" s="39" t="s">
        <v>56</v>
      </c>
      <c r="C64" s="39"/>
      <c r="D64" s="39"/>
      <c r="E64" s="40"/>
      <c r="F64" s="40"/>
      <c r="G64" s="40"/>
      <c r="H64" s="40"/>
      <c r="I64" s="40"/>
      <c r="J64" s="40"/>
      <c r="K64" s="39"/>
      <c r="L64" s="39"/>
      <c r="M64" s="39"/>
      <c r="N64" s="39"/>
      <c r="O64" s="39"/>
      <c r="P64" s="70"/>
    </row>
    <row r="65" ht="15.75" spans="1:16">
      <c r="A65" s="41" t="s">
        <v>57</v>
      </c>
      <c r="B65" s="27" t="s">
        <v>160</v>
      </c>
      <c r="C65" s="24" t="s">
        <v>145</v>
      </c>
      <c r="D65" s="24" t="s">
        <v>150</v>
      </c>
      <c r="E65" s="26">
        <f t="shared" ref="E65:E71" si="16">F65+G65+H65+I65+J65</f>
        <v>29468134.95</v>
      </c>
      <c r="F65" s="28">
        <f t="shared" ref="F65:M65" si="17">F66+F67</f>
        <v>8737726.51</v>
      </c>
      <c r="G65" s="28">
        <f t="shared" si="17"/>
        <v>8609196.32</v>
      </c>
      <c r="H65" s="28">
        <f t="shared" si="17"/>
        <v>12121212.12</v>
      </c>
      <c r="I65" s="28">
        <f t="shared" si="17"/>
        <v>0</v>
      </c>
      <c r="J65" s="28">
        <f t="shared" si="17"/>
        <v>0</v>
      </c>
      <c r="K65" s="28">
        <f t="shared" si="17"/>
        <v>0</v>
      </c>
      <c r="L65" s="28">
        <f t="shared" si="17"/>
        <v>0</v>
      </c>
      <c r="M65" s="28">
        <f t="shared" si="17"/>
        <v>0</v>
      </c>
      <c r="N65" s="89" t="s">
        <v>10</v>
      </c>
      <c r="O65" s="72" t="s">
        <v>144</v>
      </c>
      <c r="P65" s="69">
        <f>P66+P67</f>
        <v>-923148</v>
      </c>
    </row>
    <row r="66" ht="15.75" spans="1:16">
      <c r="A66" s="41"/>
      <c r="B66" s="27"/>
      <c r="C66" s="24"/>
      <c r="D66" s="24"/>
      <c r="E66" s="26">
        <f t="shared" si="16"/>
        <v>29163103.6</v>
      </c>
      <c r="F66" s="28">
        <f t="shared" ref="F66:M66" si="18">F68+F69</f>
        <v>8639999.24</v>
      </c>
      <c r="G66" s="28">
        <f t="shared" si="18"/>
        <v>8523104.36</v>
      </c>
      <c r="H66" s="28">
        <f t="shared" si="18"/>
        <v>12000000</v>
      </c>
      <c r="I66" s="28">
        <f t="shared" si="18"/>
        <v>0</v>
      </c>
      <c r="J66" s="28">
        <f t="shared" si="18"/>
        <v>0</v>
      </c>
      <c r="K66" s="28">
        <f t="shared" si="18"/>
        <v>0</v>
      </c>
      <c r="L66" s="28">
        <f t="shared" si="18"/>
        <v>0</v>
      </c>
      <c r="M66" s="28">
        <f t="shared" si="18"/>
        <v>0</v>
      </c>
      <c r="N66" s="89" t="s">
        <v>15</v>
      </c>
      <c r="O66" s="72" t="s">
        <v>144</v>
      </c>
      <c r="P66" s="69">
        <f>P68+P69</f>
        <v>-913916.52</v>
      </c>
    </row>
    <row r="67" ht="15.75" spans="1:16">
      <c r="A67" s="41"/>
      <c r="B67" s="27"/>
      <c r="C67" s="24"/>
      <c r="D67" s="24"/>
      <c r="E67" s="26">
        <f t="shared" si="16"/>
        <v>305031.35</v>
      </c>
      <c r="F67" s="28">
        <f t="shared" ref="F67:M67" si="19">F70+F71</f>
        <v>97727.27</v>
      </c>
      <c r="G67" s="28">
        <f t="shared" si="19"/>
        <v>86091.96</v>
      </c>
      <c r="H67" s="28">
        <f t="shared" si="19"/>
        <v>121212.12</v>
      </c>
      <c r="I67" s="28">
        <f t="shared" si="19"/>
        <v>0</v>
      </c>
      <c r="J67" s="28">
        <f t="shared" si="19"/>
        <v>0</v>
      </c>
      <c r="K67" s="28">
        <f t="shared" si="19"/>
        <v>0</v>
      </c>
      <c r="L67" s="28">
        <f t="shared" si="19"/>
        <v>0</v>
      </c>
      <c r="M67" s="28">
        <f t="shared" si="19"/>
        <v>0</v>
      </c>
      <c r="N67" s="89" t="s">
        <v>16</v>
      </c>
      <c r="O67" s="72" t="s">
        <v>144</v>
      </c>
      <c r="P67" s="69">
        <f>P70+P71</f>
        <v>-9231.48</v>
      </c>
    </row>
    <row r="68" ht="15.75" spans="1:17">
      <c r="A68" s="43" t="s">
        <v>59</v>
      </c>
      <c r="B68" s="27" t="s">
        <v>86</v>
      </c>
      <c r="C68" s="24" t="s">
        <v>145</v>
      </c>
      <c r="D68" s="24" t="s">
        <v>150</v>
      </c>
      <c r="E68" s="26">
        <f t="shared" si="16"/>
        <v>29163103.6</v>
      </c>
      <c r="F68" s="28">
        <f>9674999.52-1035000.28</f>
        <v>8639999.24</v>
      </c>
      <c r="G68" s="28">
        <f>9437020.88+P68</f>
        <v>8523104.36</v>
      </c>
      <c r="H68" s="28">
        <v>12000000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64" t="s">
        <v>161</v>
      </c>
      <c r="O68" s="72" t="s">
        <v>105</v>
      </c>
      <c r="P68" s="90">
        <f>-855000.27+-58916.25</f>
        <v>-913916.52</v>
      </c>
      <c r="Q68" s="7" t="s">
        <v>204</v>
      </c>
    </row>
    <row r="69" ht="15.75" spans="1:16">
      <c r="A69" s="43"/>
      <c r="B69" s="27"/>
      <c r="C69" s="24"/>
      <c r="D69" s="24"/>
      <c r="E69" s="26">
        <f t="shared" si="16"/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64" t="s">
        <v>161</v>
      </c>
      <c r="O69" s="72" t="s">
        <v>146</v>
      </c>
      <c r="P69" s="90"/>
    </row>
    <row r="70" ht="15.75" spans="1:17">
      <c r="A70" s="43"/>
      <c r="B70" s="27"/>
      <c r="C70" s="24"/>
      <c r="D70" s="24"/>
      <c r="E70" s="26">
        <f t="shared" si="16"/>
        <v>305031.35</v>
      </c>
      <c r="F70" s="28">
        <v>97727.27</v>
      </c>
      <c r="G70" s="28">
        <f>95323.44+P70</f>
        <v>86091.96</v>
      </c>
      <c r="H70" s="28">
        <v>121212.12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64" t="s">
        <v>147</v>
      </c>
      <c r="O70" s="72" t="s">
        <v>105</v>
      </c>
      <c r="P70" s="90">
        <f>-8636.37+-595.11</f>
        <v>-9231.48</v>
      </c>
      <c r="Q70" s="7" t="s">
        <v>205</v>
      </c>
    </row>
    <row r="71" ht="15.75" spans="1:16">
      <c r="A71" s="43"/>
      <c r="B71" s="27"/>
      <c r="C71" s="24"/>
      <c r="D71" s="24"/>
      <c r="E71" s="26">
        <f t="shared" si="16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64" t="s">
        <v>16</v>
      </c>
      <c r="O71" s="72" t="s">
        <v>162</v>
      </c>
      <c r="P71" s="90"/>
    </row>
    <row r="72" ht="16.5" customHeight="1" spans="1:16">
      <c r="A72" s="39" t="s">
        <v>163</v>
      </c>
      <c r="B72" s="79" t="s">
        <v>185</v>
      </c>
      <c r="C72" s="39" t="s">
        <v>144</v>
      </c>
      <c r="D72" s="39" t="s">
        <v>144</v>
      </c>
      <c r="E72" s="80">
        <f>SUM(F72:M72)</f>
        <v>1046955153.68</v>
      </c>
      <c r="F72" s="81">
        <f t="shared" ref="F72:M72" si="20">F73+F74+F75+F76</f>
        <v>311612202.48</v>
      </c>
      <c r="G72" s="81">
        <f t="shared" si="20"/>
        <v>291518762.75</v>
      </c>
      <c r="H72" s="44">
        <f t="shared" si="20"/>
        <v>159168475.67</v>
      </c>
      <c r="I72" s="81">
        <f t="shared" si="20"/>
        <v>142016184.66</v>
      </c>
      <c r="J72" s="81">
        <f t="shared" si="20"/>
        <v>142639528.12</v>
      </c>
      <c r="K72" s="81">
        <f t="shared" si="20"/>
        <v>0</v>
      </c>
      <c r="L72" s="81">
        <f t="shared" si="20"/>
        <v>0</v>
      </c>
      <c r="M72" s="81">
        <f t="shared" si="20"/>
        <v>0</v>
      </c>
      <c r="N72" s="64" t="s">
        <v>4</v>
      </c>
      <c r="O72" s="81" t="s">
        <v>144</v>
      </c>
      <c r="P72" s="91">
        <f>P73+P74+P75+P76</f>
        <v>195787.41</v>
      </c>
    </row>
    <row r="73" ht="18.75" spans="1:16">
      <c r="A73" s="39" t="s">
        <v>164</v>
      </c>
      <c r="B73" s="79"/>
      <c r="C73" s="39" t="s">
        <v>144</v>
      </c>
      <c r="D73" s="39" t="s">
        <v>144</v>
      </c>
      <c r="E73" s="81">
        <f>SUM(F73:M73)</f>
        <v>393021345.55</v>
      </c>
      <c r="F73" s="26">
        <f t="shared" ref="F73:M73" si="21">F19+F41</f>
        <v>226297399.5</v>
      </c>
      <c r="G73" s="26">
        <f t="shared" si="21"/>
        <v>57165901.86</v>
      </c>
      <c r="H73" s="26">
        <f t="shared" si="21"/>
        <v>36560478.15</v>
      </c>
      <c r="I73" s="26">
        <f t="shared" si="21"/>
        <v>37268682.78</v>
      </c>
      <c r="J73" s="26">
        <f t="shared" si="21"/>
        <v>35728883.26</v>
      </c>
      <c r="K73" s="26">
        <f t="shared" si="21"/>
        <v>0</v>
      </c>
      <c r="L73" s="26">
        <f t="shared" si="21"/>
        <v>0</v>
      </c>
      <c r="M73" s="26">
        <f t="shared" si="21"/>
        <v>0</v>
      </c>
      <c r="N73" s="64" t="s">
        <v>14</v>
      </c>
      <c r="O73" s="81" t="s">
        <v>144</v>
      </c>
      <c r="P73" s="66">
        <f>P19+P41</f>
        <v>0</v>
      </c>
    </row>
    <row r="74" ht="18.75" spans="1:16">
      <c r="A74" s="39" t="s">
        <v>165</v>
      </c>
      <c r="B74" s="79"/>
      <c r="C74" s="39" t="s">
        <v>144</v>
      </c>
      <c r="D74" s="39" t="s">
        <v>144</v>
      </c>
      <c r="E74" s="80">
        <f>SUM(F74:M74)</f>
        <v>300690372.79</v>
      </c>
      <c r="F74" s="26">
        <f t="shared" ref="F74:M74" si="22">F20+F42+F66</f>
        <v>41450803.69</v>
      </c>
      <c r="G74" s="26">
        <f t="shared" si="22"/>
        <v>87283476.32</v>
      </c>
      <c r="H74" s="44">
        <f t="shared" si="22"/>
        <v>13722679.7</v>
      </c>
      <c r="I74" s="26">
        <f t="shared" si="22"/>
        <v>79131924.91</v>
      </c>
      <c r="J74" s="26">
        <f t="shared" si="22"/>
        <v>79101488.17</v>
      </c>
      <c r="K74" s="26">
        <f t="shared" si="22"/>
        <v>0</v>
      </c>
      <c r="L74" s="26">
        <f t="shared" si="22"/>
        <v>0</v>
      </c>
      <c r="M74" s="26">
        <f t="shared" si="22"/>
        <v>0</v>
      </c>
      <c r="N74" s="64" t="s">
        <v>71</v>
      </c>
      <c r="O74" s="81" t="s">
        <v>144</v>
      </c>
      <c r="P74" s="66">
        <f>P20+P42+P66</f>
        <v>-913916.52</v>
      </c>
    </row>
    <row r="75" ht="18.75" customHeight="1" spans="1:16">
      <c r="A75" s="39" t="s">
        <v>166</v>
      </c>
      <c r="B75" s="79"/>
      <c r="C75" s="39" t="s">
        <v>144</v>
      </c>
      <c r="D75" s="39" t="s">
        <v>144</v>
      </c>
      <c r="E75" s="80">
        <f>SUM(F75:M75)</f>
        <v>12432479.48</v>
      </c>
      <c r="F75" s="26">
        <f t="shared" ref="F75:M75" si="23">F21+F43+F67</f>
        <v>2128776.56</v>
      </c>
      <c r="G75" s="26">
        <f t="shared" si="23"/>
        <v>2885538.24</v>
      </c>
      <c r="H75" s="44">
        <f t="shared" si="23"/>
        <v>493431.02</v>
      </c>
      <c r="I75" s="26">
        <f t="shared" si="23"/>
        <v>2615576.97</v>
      </c>
      <c r="J75" s="26">
        <f t="shared" si="23"/>
        <v>4309156.69</v>
      </c>
      <c r="K75" s="26">
        <f t="shared" si="23"/>
        <v>0</v>
      </c>
      <c r="L75" s="26">
        <f t="shared" si="23"/>
        <v>0</v>
      </c>
      <c r="M75" s="26">
        <f t="shared" si="23"/>
        <v>0</v>
      </c>
      <c r="N75" s="64" t="s">
        <v>16</v>
      </c>
      <c r="O75" s="81" t="s">
        <v>144</v>
      </c>
      <c r="P75" s="66">
        <f>P21+P43+P67</f>
        <v>-9231.48</v>
      </c>
    </row>
    <row r="76" ht="18.75" customHeight="1" spans="1:16">
      <c r="A76" s="39" t="s">
        <v>167</v>
      </c>
      <c r="B76" s="79"/>
      <c r="C76" s="39" t="s">
        <v>144</v>
      </c>
      <c r="D76" s="39" t="s">
        <v>144</v>
      </c>
      <c r="E76" s="81">
        <f>SUM(F76:M76)</f>
        <v>340810955.86</v>
      </c>
      <c r="F76" s="25">
        <f>F44+F22</f>
        <v>41735222.73</v>
      </c>
      <c r="G76" s="25">
        <f>G44+G22</f>
        <v>144183846.33</v>
      </c>
      <c r="H76" s="25">
        <f>H44+H22</f>
        <v>108391886.8</v>
      </c>
      <c r="I76" s="25">
        <f>I44+I22</f>
        <v>23000000</v>
      </c>
      <c r="J76" s="25">
        <f>J44+J22</f>
        <v>23500000</v>
      </c>
      <c r="K76" s="25">
        <f>K44</f>
        <v>0</v>
      </c>
      <c r="L76" s="25">
        <f>L44</f>
        <v>0</v>
      </c>
      <c r="M76" s="25">
        <f>M44</f>
        <v>0</v>
      </c>
      <c r="N76" s="64" t="s">
        <v>73</v>
      </c>
      <c r="O76" s="81" t="s">
        <v>144</v>
      </c>
      <c r="P76" s="71">
        <f>P44+P22</f>
        <v>1118935.41</v>
      </c>
    </row>
    <row r="77" ht="18.75" spans="1:16">
      <c r="A77" s="82" t="s">
        <v>219</v>
      </c>
      <c r="B77" s="82"/>
      <c r="C77" s="82"/>
      <c r="D77" s="82"/>
      <c r="E77" s="67"/>
      <c r="F77" s="67"/>
      <c r="G77" s="67"/>
      <c r="H77" s="67"/>
      <c r="I77" s="67"/>
      <c r="J77" s="67"/>
      <c r="K77" s="89"/>
      <c r="L77" s="89"/>
      <c r="M77" s="89"/>
      <c r="N77" s="64"/>
      <c r="O77" s="92"/>
      <c r="P77" s="68"/>
    </row>
    <row r="78" ht="15.75" hidden="1" spans="1:17">
      <c r="A78" s="83"/>
      <c r="B78" s="84"/>
      <c r="C78" s="84"/>
      <c r="D78" s="84"/>
      <c r="E78" s="85" t="e">
        <f>E72-#REF!</f>
        <v>#REF!</v>
      </c>
      <c r="F78" s="85">
        <f>F72-'изм 48 коррект бюджет'!F69</f>
        <v>0</v>
      </c>
      <c r="G78" s="85" t="e">
        <f>G72-#REF!</f>
        <v>#REF!</v>
      </c>
      <c r="H78" s="85">
        <f>H72-'изм 48 коррект бюджет'!H69</f>
        <v>79174948.98</v>
      </c>
      <c r="I78" s="85">
        <f>I72-'изм 48 коррект бюджет'!I69</f>
        <v>62022657.97</v>
      </c>
      <c r="J78" s="29"/>
      <c r="K78" s="93"/>
      <c r="L78" s="93"/>
      <c r="M78" s="93"/>
      <c r="N78" s="93"/>
      <c r="Q78" s="114">
        <f>(G75+G76)/1000000</f>
        <v>147.06938457</v>
      </c>
    </row>
    <row r="79" ht="18.75" spans="1:15">
      <c r="A79" s="83"/>
      <c r="B79" s="86" t="s">
        <v>187</v>
      </c>
      <c r="I79" s="94"/>
      <c r="J79" s="29"/>
      <c r="K79" s="95" t="s">
        <v>87</v>
      </c>
      <c r="L79" s="95"/>
      <c r="M79" s="95"/>
      <c r="N79" s="96">
        <v>178063747.64</v>
      </c>
      <c r="O79" s="96"/>
    </row>
    <row r="80" s="1" customFormat="1" ht="18.75" spans="1:17">
      <c r="A80" s="83"/>
      <c r="B80" s="86"/>
      <c r="C80" s="3"/>
      <c r="D80" s="3"/>
      <c r="E80" s="2"/>
      <c r="F80" s="2"/>
      <c r="G80" s="2"/>
      <c r="H80" s="2"/>
      <c r="I80" s="97"/>
      <c r="J80" s="29"/>
      <c r="K80" s="95" t="s">
        <v>88</v>
      </c>
      <c r="L80" s="95"/>
      <c r="M80" s="95"/>
      <c r="N80" s="96">
        <v>506829756.46</v>
      </c>
      <c r="O80" s="96"/>
      <c r="P80" s="98"/>
      <c r="Q80" s="78"/>
    </row>
    <row r="81" s="1" customFormat="1" ht="18.75" spans="1:17">
      <c r="A81" s="83"/>
      <c r="B81" s="86" t="s">
        <v>188</v>
      </c>
      <c r="C81" s="3"/>
      <c r="D81" s="3"/>
      <c r="E81" s="2"/>
      <c r="F81" s="2"/>
      <c r="G81" s="2"/>
      <c r="H81" s="2"/>
      <c r="I81" s="97"/>
      <c r="J81" s="29"/>
      <c r="K81" s="99" t="s">
        <v>157</v>
      </c>
      <c r="L81" s="99"/>
      <c r="M81" s="99"/>
      <c r="N81" s="100">
        <f>N82+N83+N84</f>
        <v>904315625.56</v>
      </c>
      <c r="O81" s="100"/>
      <c r="P81" s="98"/>
      <c r="Q81" s="78"/>
    </row>
    <row r="82" s="1" customFormat="1" ht="18.75" spans="1:17">
      <c r="A82" s="83"/>
      <c r="B82" s="86" t="s">
        <v>189</v>
      </c>
      <c r="C82" s="3"/>
      <c r="D82" s="3"/>
      <c r="E82" s="2"/>
      <c r="F82" s="2"/>
      <c r="G82" s="2"/>
      <c r="H82" s="2"/>
      <c r="I82" s="97"/>
      <c r="J82" s="29"/>
      <c r="K82" s="101" t="s">
        <v>157</v>
      </c>
      <c r="L82" s="101"/>
      <c r="M82" s="102" t="s">
        <v>14</v>
      </c>
      <c r="N82" s="103">
        <f>F73+G73+H73+I73</f>
        <v>357292462.29</v>
      </c>
      <c r="O82" s="103"/>
      <c r="P82" s="98"/>
      <c r="Q82" s="78"/>
    </row>
    <row r="83" s="1" customFormat="1" ht="18.75" spans="1:17">
      <c r="A83" s="83"/>
      <c r="B83" s="86" t="s">
        <v>190</v>
      </c>
      <c r="C83" s="3"/>
      <c r="D83" s="3"/>
      <c r="E83" s="2"/>
      <c r="F83" s="2"/>
      <c r="G83" s="2"/>
      <c r="H83" s="2"/>
      <c r="I83" s="97"/>
      <c r="J83" s="29"/>
      <c r="K83" s="101" t="s">
        <v>157</v>
      </c>
      <c r="L83" s="101"/>
      <c r="M83" s="102" t="s">
        <v>71</v>
      </c>
      <c r="N83" s="104">
        <f>F74+G74+H74+I74</f>
        <v>221588884.62</v>
      </c>
      <c r="O83" s="104"/>
      <c r="P83" s="98"/>
      <c r="Q83" s="78"/>
    </row>
    <row r="84" s="1" customFormat="1" ht="18.75" spans="1:17">
      <c r="A84" s="83"/>
      <c r="B84" s="86" t="s">
        <v>191</v>
      </c>
      <c r="C84" s="3"/>
      <c r="D84" s="3"/>
      <c r="E84" s="2"/>
      <c r="F84" s="2"/>
      <c r="G84" s="2"/>
      <c r="H84" s="2"/>
      <c r="I84" s="97"/>
      <c r="J84" s="29"/>
      <c r="K84" s="101" t="s">
        <v>157</v>
      </c>
      <c r="L84" s="101"/>
      <c r="M84" s="105" t="s">
        <v>207</v>
      </c>
      <c r="N84" s="106">
        <f>N85+N86</f>
        <v>325434278.65</v>
      </c>
      <c r="O84" s="107"/>
      <c r="P84" s="98"/>
      <c r="Q84" s="78"/>
    </row>
    <row r="85" s="1" customFormat="1" ht="18.75" spans="1:17">
      <c r="A85" s="83"/>
      <c r="B85" s="87" t="s">
        <v>192</v>
      </c>
      <c r="C85" s="87"/>
      <c r="D85" s="87"/>
      <c r="E85" s="88"/>
      <c r="F85" s="88"/>
      <c r="G85" s="88"/>
      <c r="H85" s="88"/>
      <c r="I85" s="97"/>
      <c r="J85" s="29"/>
      <c r="K85" s="101" t="s">
        <v>157</v>
      </c>
      <c r="L85" s="101"/>
      <c r="M85" s="105" t="s">
        <v>16</v>
      </c>
      <c r="N85" s="108">
        <f>F75+G75+H75+I75</f>
        <v>8123322.79</v>
      </c>
      <c r="O85" s="108"/>
      <c r="P85" s="109">
        <f>N85+N86</f>
        <v>325434278.65</v>
      </c>
      <c r="Q85" s="78"/>
    </row>
    <row r="86" s="1" customFormat="1" ht="18.75" spans="1:17">
      <c r="A86" s="83"/>
      <c r="B86" s="86" t="s">
        <v>193</v>
      </c>
      <c r="C86" s="3"/>
      <c r="D86" s="3"/>
      <c r="E86" s="2"/>
      <c r="F86" s="2"/>
      <c r="G86" s="2"/>
      <c r="H86" s="2"/>
      <c r="I86" s="97"/>
      <c r="J86" s="29"/>
      <c r="K86" s="101" t="s">
        <v>157</v>
      </c>
      <c r="L86" s="101"/>
      <c r="M86" s="105" t="s">
        <v>73</v>
      </c>
      <c r="N86" s="108">
        <f>F76+G76+H76+I76</f>
        <v>317310955.86</v>
      </c>
      <c r="O86" s="108"/>
      <c r="P86" s="109"/>
      <c r="Q86" s="78"/>
    </row>
    <row r="87" s="1" customFormat="1" ht="18.75" spans="1:17">
      <c r="A87" s="83"/>
      <c r="B87" s="86" t="s">
        <v>195</v>
      </c>
      <c r="C87" s="3"/>
      <c r="D87" s="3"/>
      <c r="E87" s="2"/>
      <c r="F87" s="2"/>
      <c r="G87" s="2"/>
      <c r="H87" s="2"/>
      <c r="I87" s="97"/>
      <c r="J87" s="29"/>
      <c r="K87" s="95" t="s">
        <v>194</v>
      </c>
      <c r="L87" s="95"/>
      <c r="M87" s="95"/>
      <c r="N87" s="110">
        <f>J72+K72+L72+M72</f>
        <v>142639528.12</v>
      </c>
      <c r="O87" s="110"/>
      <c r="P87" s="98"/>
      <c r="Q87" s="78"/>
    </row>
    <row r="88" ht="18.75" spans="2:15">
      <c r="B88" s="86" t="s">
        <v>196</v>
      </c>
      <c r="I88" s="85"/>
      <c r="J88" s="29"/>
      <c r="K88" s="29"/>
      <c r="L88" s="29"/>
      <c r="M88" s="29"/>
      <c r="N88" s="111">
        <f>N87+N81+N80+N79</f>
        <v>1731848657.78</v>
      </c>
      <c r="O88" s="112"/>
    </row>
    <row r="89" ht="18.75" spans="2:15">
      <c r="B89" s="86" t="s">
        <v>197</v>
      </c>
      <c r="N89" s="113"/>
      <c r="O89" s="113"/>
    </row>
    <row r="90" ht="18" customHeight="1"/>
    <row r="91" hidden="1"/>
    <row r="92" hidden="1"/>
    <row r="93" hidden="1"/>
    <row r="94" ht="2" hidden="1" customHeight="1"/>
    <row r="95" hidden="1"/>
    <row r="96" hidden="1"/>
    <row r="97" hidden="1"/>
    <row r="98" hidden="1"/>
    <row r="99" hidden="1"/>
    <row r="100" ht="38.25" customHeight="1"/>
    <row r="101" s="2" customFormat="1" spans="1:17">
      <c r="A101" s="3"/>
      <c r="K101" s="3"/>
      <c r="L101" s="3"/>
      <c r="M101" s="3"/>
      <c r="N101" s="4" t="s">
        <v>125</v>
      </c>
      <c r="O101" s="5"/>
      <c r="P101" s="6"/>
      <c r="Q101" s="115"/>
    </row>
  </sheetData>
  <mergeCells count="89">
    <mergeCell ref="J2:L2"/>
    <mergeCell ref="B11:G11"/>
    <mergeCell ref="E13:M13"/>
    <mergeCell ref="F14:M14"/>
    <mergeCell ref="B17:P17"/>
    <mergeCell ref="B39:P39"/>
    <mergeCell ref="B64:P64"/>
    <mergeCell ref="A77:D77"/>
    <mergeCell ref="K79:M79"/>
    <mergeCell ref="N79:O79"/>
    <mergeCell ref="K80:M80"/>
    <mergeCell ref="N80:O80"/>
    <mergeCell ref="K81:M81"/>
    <mergeCell ref="N81:O81"/>
    <mergeCell ref="K82:L82"/>
    <mergeCell ref="N82:O82"/>
    <mergeCell ref="K83:L83"/>
    <mergeCell ref="N83:O83"/>
    <mergeCell ref="K84:L84"/>
    <mergeCell ref="N84:O84"/>
    <mergeCell ref="B85:H85"/>
    <mergeCell ref="K85:L85"/>
    <mergeCell ref="N85:O85"/>
    <mergeCell ref="K86:L86"/>
    <mergeCell ref="N86:O86"/>
    <mergeCell ref="K87:M87"/>
    <mergeCell ref="N87:O87"/>
    <mergeCell ref="N88:O88"/>
    <mergeCell ref="N89:O89"/>
    <mergeCell ref="A13:A15"/>
    <mergeCell ref="A18:A22"/>
    <mergeCell ref="A23:A30"/>
    <mergeCell ref="A31:A35"/>
    <mergeCell ref="A36:A38"/>
    <mergeCell ref="A40:A44"/>
    <mergeCell ref="A45:A47"/>
    <mergeCell ref="A48:A51"/>
    <mergeCell ref="A52:A54"/>
    <mergeCell ref="A55:A59"/>
    <mergeCell ref="A60:A63"/>
    <mergeCell ref="A65:A67"/>
    <mergeCell ref="A68:A71"/>
    <mergeCell ref="B13:B15"/>
    <mergeCell ref="B18:B22"/>
    <mergeCell ref="B23:B30"/>
    <mergeCell ref="B31:B35"/>
    <mergeCell ref="B36:B38"/>
    <mergeCell ref="B40:B44"/>
    <mergeCell ref="B45:B47"/>
    <mergeCell ref="B48:B51"/>
    <mergeCell ref="B52:B54"/>
    <mergeCell ref="B55:B59"/>
    <mergeCell ref="B60:B63"/>
    <mergeCell ref="B65:B67"/>
    <mergeCell ref="B68:B71"/>
    <mergeCell ref="B72:B76"/>
    <mergeCell ref="C13:C15"/>
    <mergeCell ref="C18:C22"/>
    <mergeCell ref="C23:C30"/>
    <mergeCell ref="C31:C35"/>
    <mergeCell ref="C36:C38"/>
    <mergeCell ref="C40:C44"/>
    <mergeCell ref="C45:C47"/>
    <mergeCell ref="C48:C51"/>
    <mergeCell ref="C52:C54"/>
    <mergeCell ref="C55:C59"/>
    <mergeCell ref="C60:C63"/>
    <mergeCell ref="C65:C67"/>
    <mergeCell ref="C68:C71"/>
    <mergeCell ref="D13:D15"/>
    <mergeCell ref="D18:D22"/>
    <mergeCell ref="D23:D30"/>
    <mergeCell ref="D31:D35"/>
    <mergeCell ref="D36:D38"/>
    <mergeCell ref="D40:D44"/>
    <mergeCell ref="D45:D47"/>
    <mergeCell ref="D48:D51"/>
    <mergeCell ref="D52:D54"/>
    <mergeCell ref="D55:D59"/>
    <mergeCell ref="D60:D63"/>
    <mergeCell ref="D65:D67"/>
    <mergeCell ref="D68:D71"/>
    <mergeCell ref="N13:N15"/>
    <mergeCell ref="O13:O15"/>
    <mergeCell ref="O45:O47"/>
    <mergeCell ref="O53:O54"/>
    <mergeCell ref="O56:O59"/>
    <mergeCell ref="P13:P15"/>
    <mergeCell ref="P85:P86"/>
  </mergeCells>
  <pageMargins left="0.393700787401575" right="0.393700787401575" top="0.393700787401575" bottom="0.393700787401575" header="0" footer="0"/>
  <pageSetup paperSize="9" scale="68" fitToHeight="0" orientation="landscape" blackAndWhite="1" horizontalDpi="600" verticalDpi="600"/>
  <headerFooter>
    <oddHeader>&amp;C&amp;A</oddHeader>
    <oddFooter>&amp;C&amp;D
&amp;T&amp;R&amp;F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8571428571429" style="3" customWidth="1"/>
    <col min="7" max="7" width="18.1428571428571" style="3" customWidth="1"/>
    <col min="8" max="8" width="17.2857142857143" style="3" customWidth="1"/>
    <col min="9" max="9" width="11" style="3" customWidth="1"/>
    <col min="10" max="10" width="10.2857142857143" style="3" customWidth="1"/>
    <col min="11" max="11" width="25.8571428571429" style="4" customWidth="1"/>
    <col min="12" max="12" width="8" style="8" customWidth="1"/>
    <col min="13" max="16384" width="39" style="8"/>
  </cols>
  <sheetData>
    <row r="1" ht="21" spans="1:11">
      <c r="A1" s="483" t="s">
        <v>0</v>
      </c>
      <c r="B1" s="484" t="s">
        <v>1</v>
      </c>
      <c r="C1" s="484" t="s">
        <v>2</v>
      </c>
      <c r="D1" s="484" t="s">
        <v>3</v>
      </c>
      <c r="E1" s="484" t="s">
        <v>4</v>
      </c>
      <c r="F1" s="485">
        <v>2023</v>
      </c>
      <c r="G1" s="485">
        <v>2024</v>
      </c>
      <c r="H1" s="486">
        <v>2025</v>
      </c>
      <c r="I1" s="485">
        <v>2026</v>
      </c>
      <c r="J1" s="485">
        <v>2027</v>
      </c>
      <c r="K1" s="520" t="s">
        <v>5</v>
      </c>
    </row>
    <row r="2" s="1" customFormat="1" ht="19.5" spans="1:11">
      <c r="A2" s="427" t="s">
        <v>6</v>
      </c>
      <c r="B2" s="487" t="s">
        <v>7</v>
      </c>
      <c r="C2" s="429"/>
      <c r="D2" s="429"/>
      <c r="E2" s="429"/>
      <c r="F2" s="430"/>
      <c r="G2" s="430"/>
      <c r="H2" s="429"/>
      <c r="I2" s="430"/>
      <c r="J2" s="430"/>
      <c r="K2" s="469"/>
    </row>
    <row r="3" s="1" customFormat="1" ht="15.75" spans="1:11">
      <c r="A3" s="521" t="s">
        <v>8</v>
      </c>
      <c r="B3" s="351" t="s">
        <v>77</v>
      </c>
      <c r="C3" s="352"/>
      <c r="D3" s="352"/>
      <c r="E3" s="353">
        <f>F3+G3+H3+I3+J3</f>
        <v>121969598.05</v>
      </c>
      <c r="F3" s="354">
        <f>SUM(F4:F6)</f>
        <v>38333499.17</v>
      </c>
      <c r="G3" s="354">
        <f t="shared" ref="G3:J3" si="0">SUM(G4:G6)</f>
        <v>41818049.44</v>
      </c>
      <c r="H3" s="354">
        <f t="shared" si="0"/>
        <v>41818049.44</v>
      </c>
      <c r="I3" s="354">
        <f t="shared" si="0"/>
        <v>0</v>
      </c>
      <c r="J3" s="354">
        <f t="shared" si="0"/>
        <v>0</v>
      </c>
      <c r="K3" s="408" t="s">
        <v>13</v>
      </c>
    </row>
    <row r="4" s="1" customFormat="1" ht="15.75" spans="1:11">
      <c r="A4" s="522"/>
      <c r="B4" s="523"/>
      <c r="C4" s="352"/>
      <c r="D4" s="352"/>
      <c r="E4" s="353">
        <f t="shared" ref="E4:E12" si="1">SUM(F4:J4)</f>
        <v>118932555.06</v>
      </c>
      <c r="F4" s="354">
        <f>F7+F8</f>
        <v>37378995.04</v>
      </c>
      <c r="G4" s="354">
        <f t="shared" ref="G4:J4" si="2">G7+G8</f>
        <v>40776780.01</v>
      </c>
      <c r="H4" s="354">
        <f t="shared" si="2"/>
        <v>40776780.01</v>
      </c>
      <c r="I4" s="354">
        <f t="shared" si="2"/>
        <v>0</v>
      </c>
      <c r="J4" s="354">
        <f t="shared" si="2"/>
        <v>0</v>
      </c>
      <c r="K4" s="409" t="s">
        <v>78</v>
      </c>
    </row>
    <row r="5" s="1" customFormat="1" ht="15.75" spans="1:11">
      <c r="A5" s="522"/>
      <c r="B5" s="523"/>
      <c r="C5" s="352"/>
      <c r="D5" s="352"/>
      <c r="E5" s="353">
        <f t="shared" si="1"/>
        <v>2427194.99</v>
      </c>
      <c r="F5" s="354">
        <f>F9+F10</f>
        <v>762836.63</v>
      </c>
      <c r="G5" s="354">
        <f t="shared" ref="G5:J5" si="3">G9+G10</f>
        <v>832179.18</v>
      </c>
      <c r="H5" s="354">
        <f t="shared" si="3"/>
        <v>832179.18</v>
      </c>
      <c r="I5" s="354">
        <f t="shared" si="3"/>
        <v>0</v>
      </c>
      <c r="J5" s="354">
        <f t="shared" si="3"/>
        <v>0</v>
      </c>
      <c r="K5" s="409" t="s">
        <v>71</v>
      </c>
    </row>
    <row r="6" s="1" customFormat="1" ht="16.5" spans="1:11">
      <c r="A6" s="522"/>
      <c r="B6" s="524"/>
      <c r="C6" s="352"/>
      <c r="D6" s="352"/>
      <c r="E6" s="353">
        <f t="shared" si="1"/>
        <v>609848</v>
      </c>
      <c r="F6" s="354">
        <f>F11+F12</f>
        <v>191667.5</v>
      </c>
      <c r="G6" s="354">
        <f t="shared" ref="G6:J6" si="4">G11+G12</f>
        <v>209090.25</v>
      </c>
      <c r="H6" s="354">
        <f t="shared" si="4"/>
        <v>209090.25</v>
      </c>
      <c r="I6" s="354">
        <f t="shared" si="4"/>
        <v>0</v>
      </c>
      <c r="J6" s="354">
        <f t="shared" si="4"/>
        <v>0</v>
      </c>
      <c r="K6" s="409" t="s">
        <v>16</v>
      </c>
    </row>
    <row r="7" s="1" customFormat="1" ht="15.75" spans="1:11">
      <c r="A7" s="521" t="s">
        <v>11</v>
      </c>
      <c r="B7" s="356" t="s">
        <v>79</v>
      </c>
      <c r="C7" s="357"/>
      <c r="D7" s="357"/>
      <c r="E7" s="353">
        <f t="shared" si="1"/>
        <v>37378995.04</v>
      </c>
      <c r="F7" s="358">
        <v>37378995.04</v>
      </c>
      <c r="G7" s="410">
        <v>0</v>
      </c>
      <c r="H7" s="410">
        <v>0</v>
      </c>
      <c r="I7" s="410">
        <v>0</v>
      </c>
      <c r="J7" s="410">
        <v>0</v>
      </c>
      <c r="K7" s="411" t="s">
        <v>20</v>
      </c>
    </row>
    <row r="8" s="1" customFormat="1" ht="15.75" spans="1:11">
      <c r="A8" s="522"/>
      <c r="B8" s="523"/>
      <c r="C8" s="357"/>
      <c r="D8" s="357"/>
      <c r="E8" s="353">
        <f t="shared" si="1"/>
        <v>81553560.02</v>
      </c>
      <c r="F8" s="361">
        <v>0</v>
      </c>
      <c r="G8" s="361">
        <v>40776780.01</v>
      </c>
      <c r="H8" s="361">
        <v>40776780.01</v>
      </c>
      <c r="I8" s="361">
        <v>0</v>
      </c>
      <c r="J8" s="361">
        <v>0</v>
      </c>
      <c r="K8" s="412" t="s">
        <v>21</v>
      </c>
    </row>
    <row r="9" s="1" customFormat="1" ht="15.75" spans="1:11">
      <c r="A9" s="522"/>
      <c r="B9" s="523"/>
      <c r="C9" s="357"/>
      <c r="D9" s="357"/>
      <c r="E9" s="353">
        <f t="shared" si="1"/>
        <v>762836.63</v>
      </c>
      <c r="F9" s="359">
        <v>762836.63</v>
      </c>
      <c r="G9" s="359">
        <v>0</v>
      </c>
      <c r="H9" s="359">
        <v>0</v>
      </c>
      <c r="I9" s="359">
        <v>0</v>
      </c>
      <c r="J9" s="359">
        <v>0</v>
      </c>
      <c r="K9" s="411" t="s">
        <v>23</v>
      </c>
    </row>
    <row r="10" s="1" customFormat="1" ht="15.75" spans="1:11">
      <c r="A10" s="522"/>
      <c r="B10" s="523"/>
      <c r="C10" s="357"/>
      <c r="D10" s="357"/>
      <c r="E10" s="353">
        <f t="shared" si="1"/>
        <v>1664358.36</v>
      </c>
      <c r="F10" s="361">
        <v>0</v>
      </c>
      <c r="G10" s="361">
        <v>832179.18</v>
      </c>
      <c r="H10" s="361">
        <v>832179.18</v>
      </c>
      <c r="I10" s="361">
        <v>0</v>
      </c>
      <c r="J10" s="361">
        <v>0</v>
      </c>
      <c r="K10" s="412" t="s">
        <v>24</v>
      </c>
    </row>
    <row r="11" s="1" customFormat="1" ht="15.75" spans="1:11">
      <c r="A11" s="522"/>
      <c r="B11" s="523"/>
      <c r="C11" s="357"/>
      <c r="D11" s="357"/>
      <c r="E11" s="353">
        <f t="shared" si="1"/>
        <v>191667.5</v>
      </c>
      <c r="F11" s="359">
        <v>191667.5</v>
      </c>
      <c r="G11" s="359">
        <v>0</v>
      </c>
      <c r="H11" s="359">
        <v>0</v>
      </c>
      <c r="I11" s="359">
        <v>0</v>
      </c>
      <c r="J11" s="359">
        <v>0</v>
      </c>
      <c r="K11" s="411" t="s">
        <v>26</v>
      </c>
    </row>
    <row r="12" s="1" customFormat="1" ht="15.75" spans="1:11">
      <c r="A12" s="522"/>
      <c r="B12" s="523"/>
      <c r="C12" s="357"/>
      <c r="D12" s="357"/>
      <c r="E12" s="353">
        <f t="shared" si="1"/>
        <v>418180.5</v>
      </c>
      <c r="F12" s="361">
        <v>0</v>
      </c>
      <c r="G12" s="361">
        <v>209090.25</v>
      </c>
      <c r="H12" s="361">
        <v>209090.25</v>
      </c>
      <c r="I12" s="361">
        <v>0</v>
      </c>
      <c r="J12" s="361">
        <v>0</v>
      </c>
      <c r="K12" s="412" t="s">
        <v>27</v>
      </c>
    </row>
    <row r="13" ht="18.75" spans="1:11">
      <c r="A13" s="315" t="s">
        <v>36</v>
      </c>
      <c r="B13" s="367" t="s">
        <v>37</v>
      </c>
      <c r="C13" s="367"/>
      <c r="D13" s="367"/>
      <c r="E13" s="367"/>
      <c r="F13" s="367"/>
      <c r="G13" s="367"/>
      <c r="H13" s="367"/>
      <c r="I13" s="367"/>
      <c r="J13" s="367"/>
      <c r="K13" s="367"/>
    </row>
    <row r="14" ht="17.25" customHeight="1" spans="1:11">
      <c r="A14" s="368" t="s">
        <v>38</v>
      </c>
      <c r="B14" s="369" t="s">
        <v>80</v>
      </c>
      <c r="C14" s="370"/>
      <c r="D14" s="370"/>
      <c r="E14" s="371">
        <f t="shared" ref="E14:E39" si="5">F14+G14+H14+I14+J14</f>
        <v>189631744.2</v>
      </c>
      <c r="F14" s="371">
        <f>F15+F16+F17+F18</f>
        <v>36822741.12</v>
      </c>
      <c r="G14" s="371">
        <f t="shared" ref="G14:J14" si="6">G15+G16+G17+G18</f>
        <v>76404501.54</v>
      </c>
      <c r="H14" s="371">
        <f t="shared" si="6"/>
        <v>76404501.54</v>
      </c>
      <c r="I14" s="371">
        <f t="shared" si="6"/>
        <v>0</v>
      </c>
      <c r="J14" s="371">
        <f t="shared" si="6"/>
        <v>0</v>
      </c>
      <c r="K14" s="413" t="s">
        <v>10</v>
      </c>
    </row>
    <row r="15" ht="16.5" customHeight="1" spans="1:11">
      <c r="A15" s="372"/>
      <c r="B15" s="373"/>
      <c r="C15" s="370"/>
      <c r="D15" s="370"/>
      <c r="E15" s="371">
        <f t="shared" si="5"/>
        <v>0</v>
      </c>
      <c r="F15" s="371">
        <f>F27</f>
        <v>0</v>
      </c>
      <c r="G15" s="371">
        <f t="shared" ref="G15:J15" si="7">G27</f>
        <v>0</v>
      </c>
      <c r="H15" s="371">
        <f t="shared" si="7"/>
        <v>0</v>
      </c>
      <c r="I15" s="371">
        <f t="shared" si="7"/>
        <v>0</v>
      </c>
      <c r="J15" s="371">
        <f t="shared" si="7"/>
        <v>0</v>
      </c>
      <c r="K15" s="371" t="s">
        <v>14</v>
      </c>
    </row>
    <row r="16" spans="1:11">
      <c r="A16" s="372"/>
      <c r="B16" s="373"/>
      <c r="C16" s="374"/>
      <c r="D16" s="374"/>
      <c r="E16" s="371">
        <f t="shared" si="5"/>
        <v>174908904.67</v>
      </c>
      <c r="F16" s="371">
        <f>F20</f>
        <v>32086740.83</v>
      </c>
      <c r="G16" s="371">
        <f t="shared" ref="G16:J16" si="8">G20</f>
        <v>71411081.92</v>
      </c>
      <c r="H16" s="371">
        <f t="shared" si="8"/>
        <v>71411081.92</v>
      </c>
      <c r="I16" s="371">
        <f t="shared" si="8"/>
        <v>0</v>
      </c>
      <c r="J16" s="371">
        <f t="shared" si="8"/>
        <v>0</v>
      </c>
      <c r="K16" s="261" t="s">
        <v>15</v>
      </c>
    </row>
    <row r="17" spans="1:11">
      <c r="A17" s="372"/>
      <c r="B17" s="373"/>
      <c r="C17" s="374"/>
      <c r="D17" s="374"/>
      <c r="E17" s="371">
        <f t="shared" si="5"/>
        <v>10575634.33</v>
      </c>
      <c r="F17" s="371">
        <f>F21+F28</f>
        <v>2714400.29</v>
      </c>
      <c r="G17" s="371">
        <f>G21+G28</f>
        <v>3930617.02</v>
      </c>
      <c r="H17" s="371">
        <f>H21+H28</f>
        <v>3930617.02</v>
      </c>
      <c r="I17" s="371">
        <f>I21+I28</f>
        <v>0</v>
      </c>
      <c r="J17" s="371">
        <f>J21+J28</f>
        <v>0</v>
      </c>
      <c r="K17" s="261" t="s">
        <v>16</v>
      </c>
    </row>
    <row r="18" spans="1:11">
      <c r="A18" s="375"/>
      <c r="B18" s="376"/>
      <c r="C18" s="374"/>
      <c r="D18" s="374"/>
      <c r="E18" s="371">
        <f t="shared" si="5"/>
        <v>4147205.2</v>
      </c>
      <c r="F18" s="371">
        <f>F29</f>
        <v>2021600</v>
      </c>
      <c r="G18" s="371">
        <f t="shared" ref="G18:J18" si="9">G29</f>
        <v>1062802.6</v>
      </c>
      <c r="H18" s="371">
        <f t="shared" si="9"/>
        <v>1062802.6</v>
      </c>
      <c r="I18" s="371">
        <f t="shared" si="9"/>
        <v>0</v>
      </c>
      <c r="J18" s="371">
        <f t="shared" si="9"/>
        <v>0</v>
      </c>
      <c r="K18" s="371" t="s">
        <v>17</v>
      </c>
    </row>
    <row r="19" ht="15.75" spans="1:11">
      <c r="A19" s="377" t="s">
        <v>40</v>
      </c>
      <c r="B19" s="374" t="s">
        <v>81</v>
      </c>
      <c r="C19" s="378"/>
      <c r="D19" s="378"/>
      <c r="E19" s="371">
        <f t="shared" si="5"/>
        <v>180318458.42</v>
      </c>
      <c r="F19" s="379">
        <f>SUM(F20:F21)</f>
        <v>33079114.26</v>
      </c>
      <c r="G19" s="379">
        <f t="shared" ref="G19:J19" si="10">SUM(G20:G21)</f>
        <v>73619672.08</v>
      </c>
      <c r="H19" s="379">
        <f t="shared" si="10"/>
        <v>73619672.08</v>
      </c>
      <c r="I19" s="379">
        <f t="shared" si="10"/>
        <v>0</v>
      </c>
      <c r="J19" s="379">
        <f t="shared" si="10"/>
        <v>0</v>
      </c>
      <c r="K19" s="414" t="s">
        <v>10</v>
      </c>
    </row>
    <row r="20" ht="15.75" spans="1:11">
      <c r="A20" s="380"/>
      <c r="B20" s="374"/>
      <c r="C20" s="378"/>
      <c r="D20" s="378"/>
      <c r="E20" s="371">
        <f t="shared" si="5"/>
        <v>174908904.67</v>
      </c>
      <c r="F20" s="381">
        <f>F22+F23</f>
        <v>32086740.83</v>
      </c>
      <c r="G20" s="381">
        <f>G22+G23</f>
        <v>71411081.92</v>
      </c>
      <c r="H20" s="381">
        <f>H22+H23</f>
        <v>71411081.92</v>
      </c>
      <c r="I20" s="381">
        <f>I22+I23</f>
        <v>0</v>
      </c>
      <c r="J20" s="381">
        <f>J22+J23</f>
        <v>0</v>
      </c>
      <c r="K20" s="414" t="s">
        <v>15</v>
      </c>
    </row>
    <row r="21" ht="15.75" spans="1:11">
      <c r="A21" s="380"/>
      <c r="B21" s="374"/>
      <c r="C21" s="378"/>
      <c r="D21" s="378"/>
      <c r="E21" s="371">
        <f t="shared" si="5"/>
        <v>5409553.75</v>
      </c>
      <c r="F21" s="381">
        <f>F24+F25</f>
        <v>992373.43</v>
      </c>
      <c r="G21" s="381">
        <f>G24+G25</f>
        <v>2208590.16</v>
      </c>
      <c r="H21" s="381">
        <f>H24+H25</f>
        <v>2208590.16</v>
      </c>
      <c r="I21" s="381">
        <f>I24+I25</f>
        <v>0</v>
      </c>
      <c r="J21" s="381">
        <f>J24+J25</f>
        <v>0</v>
      </c>
      <c r="K21" s="414" t="s">
        <v>16</v>
      </c>
    </row>
    <row r="22" ht="15.75" spans="1:13">
      <c r="A22" s="377" t="s">
        <v>42</v>
      </c>
      <c r="B22" s="374" t="s">
        <v>43</v>
      </c>
      <c r="C22" s="27"/>
      <c r="D22" s="27"/>
      <c r="E22" s="371">
        <f t="shared" si="5"/>
        <v>159522163.84</v>
      </c>
      <c r="F22" s="28">
        <v>16700000</v>
      </c>
      <c r="G22" s="28">
        <v>71411081.92</v>
      </c>
      <c r="H22" s="28">
        <v>71411081.92</v>
      </c>
      <c r="I22" s="28">
        <v>0</v>
      </c>
      <c r="J22" s="28">
        <v>0</v>
      </c>
      <c r="K22" s="64" t="s">
        <v>23</v>
      </c>
      <c r="M22" s="94"/>
    </row>
    <row r="23" ht="15.75" spans="1:13">
      <c r="A23" s="380"/>
      <c r="B23" s="374"/>
      <c r="C23" s="27"/>
      <c r="D23" s="27"/>
      <c r="E23" s="371">
        <f t="shared" si="5"/>
        <v>15386740.83</v>
      </c>
      <c r="F23" s="28">
        <v>15386740.83</v>
      </c>
      <c r="G23" s="28">
        <v>0</v>
      </c>
      <c r="H23" s="28">
        <v>0</v>
      </c>
      <c r="I23" s="28">
        <v>0</v>
      </c>
      <c r="J23" s="28">
        <v>0</v>
      </c>
      <c r="K23" s="64" t="s">
        <v>24</v>
      </c>
      <c r="M23" s="94"/>
    </row>
    <row r="24" ht="15.75" spans="1:13">
      <c r="A24" s="380"/>
      <c r="B24" s="374"/>
      <c r="C24" s="27"/>
      <c r="D24" s="27"/>
      <c r="E24" s="371">
        <f t="shared" si="5"/>
        <v>4933675.17</v>
      </c>
      <c r="F24" s="28">
        <v>516494.85</v>
      </c>
      <c r="G24" s="28">
        <v>2208590.16</v>
      </c>
      <c r="H24" s="28">
        <v>2208590.16</v>
      </c>
      <c r="I24" s="28">
        <v>0</v>
      </c>
      <c r="J24" s="28">
        <v>0</v>
      </c>
      <c r="K24" s="64" t="s">
        <v>44</v>
      </c>
      <c r="M24" s="94"/>
    </row>
    <row r="25" ht="15.75" spans="1:13">
      <c r="A25" s="380"/>
      <c r="B25" s="374"/>
      <c r="C25" s="27"/>
      <c r="D25" s="27"/>
      <c r="E25" s="371">
        <f t="shared" si="5"/>
        <v>475878.58</v>
      </c>
      <c r="F25" s="28">
        <v>475878.58</v>
      </c>
      <c r="G25" s="28">
        <v>0</v>
      </c>
      <c r="H25" s="28">
        <v>0</v>
      </c>
      <c r="I25" s="28">
        <v>0</v>
      </c>
      <c r="J25" s="28">
        <v>0</v>
      </c>
      <c r="K25" s="64" t="s">
        <v>45</v>
      </c>
      <c r="M25" s="94"/>
    </row>
    <row r="26" ht="15.75" customHeight="1" spans="1:13">
      <c r="A26" s="377" t="s">
        <v>48</v>
      </c>
      <c r="B26" s="382" t="s">
        <v>82</v>
      </c>
      <c r="C26" s="383"/>
      <c r="D26" s="383"/>
      <c r="E26" s="371">
        <f t="shared" si="5"/>
        <v>5166080.58</v>
      </c>
      <c r="F26" s="384">
        <f>SUM(F27:F28)</f>
        <v>1722026.86</v>
      </c>
      <c r="G26" s="384">
        <f t="shared" ref="G26:J26" si="11">SUM(G27:G28)</f>
        <v>1722026.86</v>
      </c>
      <c r="H26" s="384">
        <f t="shared" si="11"/>
        <v>1722026.86</v>
      </c>
      <c r="I26" s="384">
        <f t="shared" si="11"/>
        <v>0</v>
      </c>
      <c r="J26" s="384">
        <f t="shared" si="11"/>
        <v>0</v>
      </c>
      <c r="K26" s="415" t="s">
        <v>50</v>
      </c>
      <c r="M26" s="94"/>
    </row>
    <row r="27" ht="15.75" spans="1:13">
      <c r="A27" s="380"/>
      <c r="B27" s="385"/>
      <c r="C27" s="383"/>
      <c r="D27" s="383"/>
      <c r="E27" s="371">
        <f t="shared" si="5"/>
        <v>0</v>
      </c>
      <c r="F27" s="386">
        <v>0</v>
      </c>
      <c r="G27" s="386">
        <v>0</v>
      </c>
      <c r="H27" s="386">
        <v>0</v>
      </c>
      <c r="I27" s="386">
        <v>0</v>
      </c>
      <c r="J27" s="386">
        <v>0</v>
      </c>
      <c r="K27" s="415" t="s">
        <v>20</v>
      </c>
      <c r="M27" s="94"/>
    </row>
    <row r="28" ht="21" customHeight="1" spans="1:13">
      <c r="A28" s="380"/>
      <c r="B28" s="385"/>
      <c r="C28" s="383"/>
      <c r="D28" s="383"/>
      <c r="E28" s="371">
        <f t="shared" si="5"/>
        <v>5166080.58</v>
      </c>
      <c r="F28" s="386">
        <f>1054841.37+667185.49</f>
        <v>1722026.86</v>
      </c>
      <c r="G28" s="386">
        <f t="shared" ref="G28:H28" si="12">1054841.37+667185.49</f>
        <v>1722026.86</v>
      </c>
      <c r="H28" s="386">
        <f t="shared" si="12"/>
        <v>1722026.86</v>
      </c>
      <c r="I28" s="386">
        <v>0</v>
      </c>
      <c r="J28" s="386">
        <v>0</v>
      </c>
      <c r="K28" s="415" t="s">
        <v>44</v>
      </c>
      <c r="M28" s="94"/>
    </row>
    <row r="29" s="1" customFormat="1" ht="15.75" spans="1:11">
      <c r="A29" s="377" t="s">
        <v>83</v>
      </c>
      <c r="B29" s="382" t="s">
        <v>84</v>
      </c>
      <c r="C29" s="357"/>
      <c r="D29" s="357"/>
      <c r="E29" s="371">
        <f t="shared" si="5"/>
        <v>4147205.2</v>
      </c>
      <c r="F29" s="386">
        <f>F31+F30</f>
        <v>2021600</v>
      </c>
      <c r="G29" s="386">
        <f t="shared" ref="G29:J29" si="13">G31+G30</f>
        <v>1062802.6</v>
      </c>
      <c r="H29" s="386">
        <f t="shared" si="13"/>
        <v>1062802.6</v>
      </c>
      <c r="I29" s="386">
        <f t="shared" si="13"/>
        <v>0</v>
      </c>
      <c r="J29" s="386">
        <f t="shared" si="13"/>
        <v>0</v>
      </c>
      <c r="K29" s="416" t="s">
        <v>13</v>
      </c>
    </row>
    <row r="30" s="1" customFormat="1" ht="15.75" spans="1:11">
      <c r="A30" s="380"/>
      <c r="B30" s="385"/>
      <c r="C30" s="357"/>
      <c r="D30" s="357"/>
      <c r="E30" s="371">
        <f t="shared" si="5"/>
        <v>1021600</v>
      </c>
      <c r="F30" s="386">
        <f>400000+500000+121600</f>
        <v>1021600</v>
      </c>
      <c r="G30" s="386">
        <v>0</v>
      </c>
      <c r="H30" s="386">
        <v>0</v>
      </c>
      <c r="I30" s="386">
        <v>0</v>
      </c>
      <c r="J30" s="386">
        <v>0</v>
      </c>
      <c r="K30" s="415" t="s">
        <v>29</v>
      </c>
    </row>
    <row r="31" s="1" customFormat="1" ht="15.75" spans="1:11">
      <c r="A31" s="380"/>
      <c r="B31" s="385"/>
      <c r="C31" s="357"/>
      <c r="D31" s="357"/>
      <c r="E31" s="371">
        <f t="shared" si="5"/>
        <v>3125605.2</v>
      </c>
      <c r="F31" s="386">
        <v>1000000</v>
      </c>
      <c r="G31" s="386">
        <f>1100000-37197.4</f>
        <v>1062802.6</v>
      </c>
      <c r="H31" s="386">
        <f>1100000-37197.4</f>
        <v>1062802.6</v>
      </c>
      <c r="I31" s="386">
        <v>0</v>
      </c>
      <c r="J31" s="386">
        <v>0</v>
      </c>
      <c r="K31" s="415" t="s">
        <v>30</v>
      </c>
    </row>
    <row r="32" ht="18.75" spans="1:11">
      <c r="A32" s="315" t="s">
        <v>55</v>
      </c>
      <c r="B32" s="367" t="s">
        <v>56</v>
      </c>
      <c r="C32" s="367"/>
      <c r="D32" s="367"/>
      <c r="E32" s="367"/>
      <c r="F32" s="367"/>
      <c r="G32" s="367"/>
      <c r="H32" s="367"/>
      <c r="I32" s="367"/>
      <c r="J32" s="367"/>
      <c r="K32" s="367"/>
    </row>
    <row r="33" ht="15.75" spans="1:11">
      <c r="A33" s="387" t="s">
        <v>57</v>
      </c>
      <c r="B33" s="388" t="s">
        <v>85</v>
      </c>
      <c r="C33" s="389"/>
      <c r="D33" s="389"/>
      <c r="E33" s="390">
        <f t="shared" si="5"/>
        <v>0</v>
      </c>
      <c r="F33" s="391">
        <f>F34+F35</f>
        <v>0</v>
      </c>
      <c r="G33" s="391">
        <f t="shared" ref="G33:J33" si="14">G34+G35</f>
        <v>0</v>
      </c>
      <c r="H33" s="391">
        <f t="shared" si="14"/>
        <v>0</v>
      </c>
      <c r="I33" s="391">
        <f t="shared" si="14"/>
        <v>0</v>
      </c>
      <c r="J33" s="391">
        <f t="shared" si="14"/>
        <v>0</v>
      </c>
      <c r="K33" s="418" t="s">
        <v>10</v>
      </c>
    </row>
    <row r="34" ht="15.75" spans="1:11">
      <c r="A34" s="392"/>
      <c r="B34" s="388"/>
      <c r="C34" s="389"/>
      <c r="D34" s="389"/>
      <c r="E34" s="390">
        <f t="shared" si="5"/>
        <v>0</v>
      </c>
      <c r="F34" s="391">
        <f>F36+F37</f>
        <v>0</v>
      </c>
      <c r="G34" s="391">
        <f t="shared" ref="G34:J34" si="15">G36+G37</f>
        <v>0</v>
      </c>
      <c r="H34" s="391">
        <f t="shared" si="15"/>
        <v>0</v>
      </c>
      <c r="I34" s="391">
        <f t="shared" si="15"/>
        <v>0</v>
      </c>
      <c r="J34" s="391">
        <f t="shared" si="15"/>
        <v>0</v>
      </c>
      <c r="K34" s="418" t="s">
        <v>15</v>
      </c>
    </row>
    <row r="35" ht="15.75" spans="1:11">
      <c r="A35" s="392"/>
      <c r="B35" s="388"/>
      <c r="C35" s="389"/>
      <c r="D35" s="389"/>
      <c r="E35" s="390">
        <f t="shared" si="5"/>
        <v>0</v>
      </c>
      <c r="F35" s="391">
        <f>F38+F39</f>
        <v>0</v>
      </c>
      <c r="G35" s="391">
        <f t="shared" ref="G35:J35" si="16">G38+G39</f>
        <v>0</v>
      </c>
      <c r="H35" s="391">
        <f t="shared" si="16"/>
        <v>0</v>
      </c>
      <c r="I35" s="391">
        <f t="shared" si="16"/>
        <v>0</v>
      </c>
      <c r="J35" s="391">
        <f t="shared" si="16"/>
        <v>0</v>
      </c>
      <c r="K35" s="418" t="s">
        <v>16</v>
      </c>
    </row>
    <row r="36" ht="15.75" spans="1:11">
      <c r="A36" s="393" t="s">
        <v>59</v>
      </c>
      <c r="B36" s="394" t="s">
        <v>86</v>
      </c>
      <c r="C36" s="27"/>
      <c r="D36" s="27"/>
      <c r="E36" s="390">
        <f t="shared" si="5"/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411" t="s">
        <v>65</v>
      </c>
    </row>
    <row r="37" ht="15.75" spans="1:11">
      <c r="A37" s="393"/>
      <c r="B37" s="394"/>
      <c r="C37" s="27"/>
      <c r="D37" s="27"/>
      <c r="E37" s="390">
        <f t="shared" si="5"/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412" t="s">
        <v>67</v>
      </c>
    </row>
    <row r="38" ht="15.75" spans="1:11">
      <c r="A38" s="393"/>
      <c r="B38" s="394"/>
      <c r="C38" s="27"/>
      <c r="D38" s="27"/>
      <c r="E38" s="390">
        <f t="shared" si="5"/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411" t="s">
        <v>44</v>
      </c>
    </row>
    <row r="39" ht="15.75" spans="1:11">
      <c r="A39" s="393"/>
      <c r="B39" s="395"/>
      <c r="C39" s="27"/>
      <c r="D39" s="27"/>
      <c r="E39" s="390">
        <f t="shared" si="5"/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412" t="s">
        <v>45</v>
      </c>
    </row>
    <row r="40" ht="18.75" customHeight="1" spans="1:11">
      <c r="A40" s="396" t="s">
        <v>70</v>
      </c>
      <c r="B40" s="396"/>
      <c r="C40" s="396"/>
      <c r="D40" s="517"/>
      <c r="E40" s="279">
        <f t="shared" ref="E40:E44" si="17">SUM(F40:J40)</f>
        <v>311601342.25</v>
      </c>
      <c r="F40" s="282">
        <f>F41+F42+F43+F44</f>
        <v>75156240.29</v>
      </c>
      <c r="G40" s="282">
        <f t="shared" ref="G40:J40" si="18">G41+G42+G43+G44</f>
        <v>118222550.98</v>
      </c>
      <c r="H40" s="282">
        <f t="shared" si="18"/>
        <v>118222550.98</v>
      </c>
      <c r="I40" s="282">
        <f t="shared" si="18"/>
        <v>0</v>
      </c>
      <c r="J40" s="282">
        <f t="shared" si="18"/>
        <v>0</v>
      </c>
      <c r="K40" s="340"/>
    </row>
    <row r="41" ht="18.75" spans="1:11">
      <c r="A41" s="399"/>
      <c r="B41" s="399"/>
      <c r="C41" s="399"/>
      <c r="D41" s="518"/>
      <c r="E41" s="279">
        <f t="shared" si="17"/>
        <v>118932555.06</v>
      </c>
      <c r="F41" s="280">
        <f>F4+F15</f>
        <v>37378995.04</v>
      </c>
      <c r="G41" s="280">
        <f t="shared" ref="G41:J41" si="19">G4+G15</f>
        <v>40776780.01</v>
      </c>
      <c r="H41" s="280">
        <f t="shared" si="19"/>
        <v>40776780.01</v>
      </c>
      <c r="I41" s="280">
        <f t="shared" si="19"/>
        <v>0</v>
      </c>
      <c r="J41" s="280">
        <f t="shared" si="19"/>
        <v>0</v>
      </c>
      <c r="K41" s="420" t="s">
        <v>14</v>
      </c>
    </row>
    <row r="42" ht="18.75" spans="1:11">
      <c r="A42" s="399"/>
      <c r="B42" s="399"/>
      <c r="C42" s="399"/>
      <c r="D42" s="518"/>
      <c r="E42" s="279">
        <f t="shared" si="17"/>
        <v>177336099.66</v>
      </c>
      <c r="F42" s="280">
        <f t="shared" ref="F42:F43" si="20">F5+F16+F34</f>
        <v>32849577.46</v>
      </c>
      <c r="G42" s="280">
        <f t="shared" ref="G42:J43" si="21">G5+G16+G34</f>
        <v>72243261.1</v>
      </c>
      <c r="H42" s="280">
        <f t="shared" ref="H42:J42" si="22">H5+H16+H34</f>
        <v>72243261.1</v>
      </c>
      <c r="I42" s="280">
        <f t="shared" si="22"/>
        <v>0</v>
      </c>
      <c r="J42" s="280">
        <f t="shared" si="22"/>
        <v>0</v>
      </c>
      <c r="K42" s="420" t="s">
        <v>71</v>
      </c>
    </row>
    <row r="43" ht="18.75" customHeight="1" spans="1:11">
      <c r="A43" s="399"/>
      <c r="B43" s="399"/>
      <c r="C43" s="399"/>
      <c r="D43" s="518"/>
      <c r="E43" s="279">
        <f t="shared" si="17"/>
        <v>11185482.33</v>
      </c>
      <c r="F43" s="280">
        <f t="shared" si="20"/>
        <v>2906067.79</v>
      </c>
      <c r="G43" s="280">
        <f t="shared" si="21"/>
        <v>4139707.27</v>
      </c>
      <c r="H43" s="280">
        <f t="shared" si="21"/>
        <v>4139707.27</v>
      </c>
      <c r="I43" s="280">
        <f t="shared" si="21"/>
        <v>0</v>
      </c>
      <c r="J43" s="280">
        <f t="shared" si="21"/>
        <v>0</v>
      </c>
      <c r="K43" s="287" t="s">
        <v>16</v>
      </c>
    </row>
    <row r="44" ht="18.75" customHeight="1" spans="1:11">
      <c r="A44" s="402"/>
      <c r="B44" s="402"/>
      <c r="C44" s="402"/>
      <c r="D44" s="519"/>
      <c r="E44" s="279">
        <f t="shared" si="17"/>
        <v>4147205.2</v>
      </c>
      <c r="F44" s="282">
        <f>F29</f>
        <v>2021600</v>
      </c>
      <c r="G44" s="282">
        <f t="shared" ref="G44:J44" si="23">G29</f>
        <v>1062802.6</v>
      </c>
      <c r="H44" s="282">
        <f t="shared" si="23"/>
        <v>1062802.6</v>
      </c>
      <c r="I44" s="282">
        <f t="shared" si="23"/>
        <v>0</v>
      </c>
      <c r="J44" s="282">
        <f t="shared" si="23"/>
        <v>0</v>
      </c>
      <c r="K44" s="287" t="s">
        <v>73</v>
      </c>
    </row>
    <row r="45" ht="18.75" spans="1:11">
      <c r="A45" s="284" t="s">
        <v>5</v>
      </c>
      <c r="B45" s="284"/>
      <c r="C45" s="284"/>
      <c r="D45" s="284"/>
      <c r="E45" s="323"/>
      <c r="F45" s="323"/>
      <c r="G45" s="323"/>
      <c r="H45" s="323"/>
      <c r="I45" s="323"/>
      <c r="J45" s="323"/>
      <c r="K45" s="340"/>
    </row>
    <row r="46" ht="15.75" spans="2:11">
      <c r="B46" s="467"/>
      <c r="C46" s="467"/>
      <c r="D46" s="467"/>
      <c r="J46" s="479"/>
      <c r="K46" s="479"/>
    </row>
    <row r="47" ht="15.75" spans="9:11">
      <c r="I47" s="3" t="s">
        <v>87</v>
      </c>
      <c r="J47" s="480"/>
      <c r="K47" s="480">
        <v>178063747.64</v>
      </c>
    </row>
    <row r="48" s="1" customFormat="1" ht="15.75" spans="1:11">
      <c r="A48" s="3"/>
      <c r="B48" s="3"/>
      <c r="C48" s="3"/>
      <c r="D48" s="3"/>
      <c r="E48" s="3"/>
      <c r="F48" s="3"/>
      <c r="G48" s="3"/>
      <c r="H48" s="3"/>
      <c r="I48" s="3" t="s">
        <v>88</v>
      </c>
      <c r="J48" s="480"/>
      <c r="K48" s="480">
        <v>506829756.46</v>
      </c>
    </row>
    <row r="49" s="1" customFormat="1" ht="15.75" spans="1:11">
      <c r="A49" s="3"/>
      <c r="B49" s="3"/>
      <c r="C49" s="3"/>
      <c r="D49" s="3"/>
      <c r="E49" s="3"/>
      <c r="F49" s="3"/>
      <c r="G49" s="3"/>
      <c r="H49" s="3"/>
      <c r="I49" s="3"/>
      <c r="J49" s="480"/>
      <c r="K49" s="481">
        <f>E40+K47+K48</f>
        <v>996494846.35</v>
      </c>
    </row>
    <row r="50" s="1" customFormat="1" ht="15.75" spans="1:11">
      <c r="A50" s="3"/>
      <c r="B50" s="3"/>
      <c r="C50" s="3"/>
      <c r="D50" s="3"/>
      <c r="E50" s="3"/>
      <c r="F50" s="3"/>
      <c r="G50" s="3"/>
      <c r="H50" s="3"/>
      <c r="I50" s="3"/>
      <c r="J50" s="480"/>
      <c r="K50" s="480"/>
    </row>
    <row r="51" s="1" customFormat="1" ht="15.75" spans="1:11">
      <c r="A51" s="3"/>
      <c r="B51" s="3"/>
      <c r="C51" s="3"/>
      <c r="D51" s="3"/>
      <c r="E51" s="3"/>
      <c r="F51" s="3"/>
      <c r="G51" s="3"/>
      <c r="H51" s="3"/>
      <c r="I51" s="3"/>
      <c r="J51" s="480"/>
      <c r="K51" s="480"/>
    </row>
    <row r="52" s="1" customFormat="1" ht="15.75" spans="1:11">
      <c r="A52" s="3"/>
      <c r="B52" s="3"/>
      <c r="C52" s="3"/>
      <c r="D52" s="3"/>
      <c r="E52" s="3"/>
      <c r="F52" s="3"/>
      <c r="G52" s="3"/>
      <c r="H52" s="3"/>
      <c r="I52" s="3"/>
      <c r="J52" s="480"/>
      <c r="K52" s="480"/>
    </row>
  </sheetData>
  <sheetProtection algorithmName="SHA-512" hashValue="Gr0Ax2IWNymULl1bTi1uViryTrJeil8JOfpq+ZLJYSzj9/gN+2B+QpcfBlhCy+RIEXzPOJr02LZFMqNmf+MWgw==" saltValue="pVNK9ZXkgoC/MHGRmHf+NA==" spinCount="100000" sheet="1" objects="1" scenarios="1"/>
  <mergeCells count="21">
    <mergeCell ref="B13:K13"/>
    <mergeCell ref="B32:K32"/>
    <mergeCell ref="A45:D45"/>
    <mergeCell ref="A3:A6"/>
    <mergeCell ref="A7:A12"/>
    <mergeCell ref="A14:A18"/>
    <mergeCell ref="A19:A21"/>
    <mergeCell ref="A22:A25"/>
    <mergeCell ref="A26:A28"/>
    <mergeCell ref="A29:A31"/>
    <mergeCell ref="A33:A35"/>
    <mergeCell ref="A36:A39"/>
    <mergeCell ref="B3:B6"/>
    <mergeCell ref="B7:B12"/>
    <mergeCell ref="B14:B18"/>
    <mergeCell ref="B19:B21"/>
    <mergeCell ref="B22:B25"/>
    <mergeCell ref="B26:B28"/>
    <mergeCell ref="B29:B31"/>
    <mergeCell ref="B33:B35"/>
    <mergeCell ref="B36:B39"/>
  </mergeCells>
  <pageMargins left="0.118110236220472" right="0.118110236220472" top="0.15748031496063" bottom="0.15748031496063" header="0.31496062992126" footer="0.31496062992126"/>
  <pageSetup paperSize="9" scale="60" orientation="portrait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6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8571428571429" style="3" customWidth="1"/>
    <col min="7" max="7" width="18.1428571428571" style="3" customWidth="1"/>
    <col min="8" max="8" width="17.2857142857143" style="3" customWidth="1"/>
    <col min="9" max="9" width="11" style="3" customWidth="1"/>
    <col min="10" max="10" width="10.2857142857143" style="3" customWidth="1"/>
    <col min="11" max="11" width="25.8571428571429" style="4" customWidth="1"/>
    <col min="12" max="16384" width="39" style="8"/>
  </cols>
  <sheetData>
    <row r="1" ht="21" spans="1:11">
      <c r="A1" s="483" t="s">
        <v>0</v>
      </c>
      <c r="B1" s="484" t="s">
        <v>1</v>
      </c>
      <c r="C1" s="484" t="s">
        <v>2</v>
      </c>
      <c r="D1" s="484" t="s">
        <v>3</v>
      </c>
      <c r="E1" s="484" t="s">
        <v>4</v>
      </c>
      <c r="F1" s="485">
        <v>2023</v>
      </c>
      <c r="G1" s="485">
        <v>2024</v>
      </c>
      <c r="H1" s="486">
        <v>2025</v>
      </c>
      <c r="I1" s="485">
        <v>2026</v>
      </c>
      <c r="J1" s="485">
        <v>2027</v>
      </c>
      <c r="K1" s="520" t="s">
        <v>89</v>
      </c>
    </row>
    <row r="2" s="1" customFormat="1" ht="19.5" spans="1:11">
      <c r="A2" s="427" t="s">
        <v>6</v>
      </c>
      <c r="B2" s="487" t="s">
        <v>7</v>
      </c>
      <c r="C2" s="429"/>
      <c r="D2" s="429"/>
      <c r="E2" s="429"/>
      <c r="F2" s="430"/>
      <c r="G2" s="430"/>
      <c r="H2" s="429"/>
      <c r="I2" s="430"/>
      <c r="J2" s="430"/>
      <c r="K2" s="469"/>
    </row>
    <row r="3" s="1" customFormat="1" ht="15.75" customHeight="1" spans="1:11">
      <c r="A3" s="350" t="s">
        <v>8</v>
      </c>
      <c r="B3" s="509" t="s">
        <v>77</v>
      </c>
      <c r="C3" s="352"/>
      <c r="D3" s="352"/>
      <c r="E3" s="353">
        <f>F3+G3+H3+I3+J3</f>
        <v>183087984.04</v>
      </c>
      <c r="F3" s="354">
        <f>SUM(F4:F7)</f>
        <v>142394848.55</v>
      </c>
      <c r="G3" s="354">
        <f t="shared" ref="G3:J3" si="0">SUM(G4:G7)</f>
        <v>40484045.24</v>
      </c>
      <c r="H3" s="354">
        <f t="shared" si="0"/>
        <v>209090.25</v>
      </c>
      <c r="I3" s="354">
        <f t="shared" si="0"/>
        <v>0</v>
      </c>
      <c r="J3" s="354">
        <f t="shared" si="0"/>
        <v>0</v>
      </c>
      <c r="K3" s="408" t="s">
        <v>13</v>
      </c>
    </row>
    <row r="4" s="1" customFormat="1" ht="15.75" spans="1:11">
      <c r="A4" s="355"/>
      <c r="B4" s="510"/>
      <c r="C4" s="352"/>
      <c r="D4" s="352"/>
      <c r="E4" s="353">
        <f t="shared" ref="E4:E11" si="1">SUM(F4:J4)</f>
        <v>74948573.32</v>
      </c>
      <c r="F4" s="354">
        <f>F9+F10</f>
        <v>35479117.43</v>
      </c>
      <c r="G4" s="354">
        <f t="shared" ref="G4:J4" si="2">G9+G10+G15</f>
        <v>39469455.89</v>
      </c>
      <c r="H4" s="354">
        <f t="shared" si="2"/>
        <v>0</v>
      </c>
      <c r="I4" s="354">
        <f t="shared" si="2"/>
        <v>0</v>
      </c>
      <c r="J4" s="354">
        <f t="shared" si="2"/>
        <v>0</v>
      </c>
      <c r="K4" s="409" t="s">
        <v>78</v>
      </c>
    </row>
    <row r="5" s="1" customFormat="1" ht="15.75" spans="1:11">
      <c r="A5" s="355"/>
      <c r="B5" s="510"/>
      <c r="C5" s="352"/>
      <c r="D5" s="352"/>
      <c r="E5" s="353">
        <f t="shared" si="1"/>
        <v>106000000</v>
      </c>
      <c r="F5" s="354">
        <f>F15</f>
        <v>106000000</v>
      </c>
      <c r="G5" s="354">
        <f t="shared" ref="G5:J5" si="3">G15</f>
        <v>0</v>
      </c>
      <c r="H5" s="354">
        <f t="shared" si="3"/>
        <v>0</v>
      </c>
      <c r="I5" s="354">
        <f t="shared" si="3"/>
        <v>0</v>
      </c>
      <c r="J5" s="354">
        <f t="shared" si="3"/>
        <v>0</v>
      </c>
      <c r="K5" s="409" t="s">
        <v>90</v>
      </c>
    </row>
    <row r="6" s="1" customFormat="1" ht="15.75" spans="1:11">
      <c r="A6" s="355"/>
      <c r="B6" s="510"/>
      <c r="C6" s="352"/>
      <c r="D6" s="352"/>
      <c r="E6" s="353">
        <f t="shared" si="1"/>
        <v>1529562.72</v>
      </c>
      <c r="F6" s="354">
        <f>F11+F12</f>
        <v>724063.62</v>
      </c>
      <c r="G6" s="354">
        <f t="shared" ref="G6:J6" si="4">G11+G12</f>
        <v>805499.1</v>
      </c>
      <c r="H6" s="354">
        <f t="shared" si="4"/>
        <v>0</v>
      </c>
      <c r="I6" s="354">
        <f t="shared" si="4"/>
        <v>0</v>
      </c>
      <c r="J6" s="354">
        <f t="shared" si="4"/>
        <v>0</v>
      </c>
      <c r="K6" s="409" t="s">
        <v>71</v>
      </c>
    </row>
    <row r="7" s="1" customFormat="1" ht="16.5" spans="1:11">
      <c r="A7" s="355"/>
      <c r="B7" s="510"/>
      <c r="C7" s="352"/>
      <c r="D7" s="352"/>
      <c r="E7" s="353">
        <f t="shared" si="1"/>
        <v>609848</v>
      </c>
      <c r="F7" s="354">
        <f>F13+F14</f>
        <v>191667.5</v>
      </c>
      <c r="G7" s="354">
        <f t="shared" ref="G7:J7" si="5">G13+G14</f>
        <v>209090.25</v>
      </c>
      <c r="H7" s="354">
        <f t="shared" si="5"/>
        <v>209090.25</v>
      </c>
      <c r="I7" s="354">
        <f t="shared" si="5"/>
        <v>0</v>
      </c>
      <c r="J7" s="354">
        <f t="shared" si="5"/>
        <v>0</v>
      </c>
      <c r="K7" s="409" t="s">
        <v>16</v>
      </c>
    </row>
    <row r="8" s="1" customFormat="1" ht="15.75" spans="1:11">
      <c r="A8" s="350" t="s">
        <v>11</v>
      </c>
      <c r="B8" s="511" t="s">
        <v>79</v>
      </c>
      <c r="C8" s="352"/>
      <c r="D8" s="352"/>
      <c r="E8" s="353">
        <f t="shared" si="1"/>
        <v>77087984.04</v>
      </c>
      <c r="F8" s="354">
        <f>F9+F10+F11+F12+F13+F14</f>
        <v>36394848.55</v>
      </c>
      <c r="G8" s="354">
        <f t="shared" ref="G8:J8" si="6">G9+G10+G11+G12+G13+G14</f>
        <v>40484045.24</v>
      </c>
      <c r="H8" s="354">
        <f t="shared" si="6"/>
        <v>209090.25</v>
      </c>
      <c r="I8" s="354">
        <f t="shared" si="6"/>
        <v>0</v>
      </c>
      <c r="J8" s="354">
        <f t="shared" si="6"/>
        <v>0</v>
      </c>
      <c r="K8" s="408" t="s">
        <v>13</v>
      </c>
    </row>
    <row r="9" s="1" customFormat="1" ht="15.75" spans="1:11">
      <c r="A9" s="355"/>
      <c r="B9" s="512"/>
      <c r="C9" s="357"/>
      <c r="D9" s="357"/>
      <c r="E9" s="353">
        <f t="shared" si="1"/>
        <v>35479117.43</v>
      </c>
      <c r="F9" s="358">
        <v>35479117.43</v>
      </c>
      <c r="G9" s="360">
        <v>0</v>
      </c>
      <c r="H9" s="360">
        <v>0</v>
      </c>
      <c r="I9" s="410">
        <v>0</v>
      </c>
      <c r="J9" s="410">
        <v>0</v>
      </c>
      <c r="K9" s="411" t="s">
        <v>20</v>
      </c>
    </row>
    <row r="10" s="1" customFormat="1" ht="15.75" spans="1:11">
      <c r="A10" s="355"/>
      <c r="B10" s="512"/>
      <c r="C10" s="357"/>
      <c r="D10" s="357"/>
      <c r="E10" s="353">
        <f t="shared" si="1"/>
        <v>39469455.89</v>
      </c>
      <c r="F10" s="361">
        <v>0</v>
      </c>
      <c r="G10" s="361">
        <v>39469455.89</v>
      </c>
      <c r="H10" s="361">
        <v>0</v>
      </c>
      <c r="I10" s="361">
        <v>0</v>
      </c>
      <c r="J10" s="361">
        <v>0</v>
      </c>
      <c r="K10" s="412" t="s">
        <v>21</v>
      </c>
    </row>
    <row r="11" s="1" customFormat="1" ht="15.75" spans="1:11">
      <c r="A11" s="355"/>
      <c r="B11" s="512"/>
      <c r="C11" s="357"/>
      <c r="D11" s="357"/>
      <c r="E11" s="353">
        <f t="shared" si="1"/>
        <v>724063.62</v>
      </c>
      <c r="F11" s="359">
        <v>724063.62</v>
      </c>
      <c r="G11" s="359">
        <v>0</v>
      </c>
      <c r="H11" s="359">
        <v>0</v>
      </c>
      <c r="I11" s="359">
        <v>0</v>
      </c>
      <c r="J11" s="359">
        <v>0</v>
      </c>
      <c r="K11" s="411" t="s">
        <v>23</v>
      </c>
    </row>
    <row r="12" s="1" customFormat="1" ht="15.75" spans="1:11">
      <c r="A12" s="355"/>
      <c r="B12" s="512"/>
      <c r="C12" s="357"/>
      <c r="D12" s="357"/>
      <c r="E12" s="353">
        <f t="shared" ref="E12:E15" si="7">SUM(F12:J12)</f>
        <v>805499.1</v>
      </c>
      <c r="F12" s="361">
        <v>0</v>
      </c>
      <c r="G12" s="361">
        <v>805499.1</v>
      </c>
      <c r="H12" s="361">
        <v>0</v>
      </c>
      <c r="I12" s="361">
        <v>0</v>
      </c>
      <c r="J12" s="361">
        <v>0</v>
      </c>
      <c r="K12" s="412" t="s">
        <v>24</v>
      </c>
    </row>
    <row r="13" s="1" customFormat="1" ht="15.75" spans="1:11">
      <c r="A13" s="355"/>
      <c r="B13" s="512"/>
      <c r="C13" s="357"/>
      <c r="D13" s="357"/>
      <c r="E13" s="353">
        <f t="shared" si="7"/>
        <v>191667.5</v>
      </c>
      <c r="F13" s="359">
        <v>191667.5</v>
      </c>
      <c r="G13" s="359">
        <v>0</v>
      </c>
      <c r="H13" s="359">
        <v>0</v>
      </c>
      <c r="I13" s="359">
        <v>0</v>
      </c>
      <c r="J13" s="359">
        <v>0</v>
      </c>
      <c r="K13" s="411" t="s">
        <v>26</v>
      </c>
    </row>
    <row r="14" s="1" customFormat="1" ht="16.5" spans="1:11">
      <c r="A14" s="362"/>
      <c r="B14" s="513"/>
      <c r="C14" s="357"/>
      <c r="D14" s="357"/>
      <c r="E14" s="353">
        <f t="shared" si="7"/>
        <v>418180.5</v>
      </c>
      <c r="F14" s="361">
        <v>0</v>
      </c>
      <c r="G14" s="361">
        <v>209090.25</v>
      </c>
      <c r="H14" s="361">
        <v>209090.25</v>
      </c>
      <c r="I14" s="361">
        <v>0</v>
      </c>
      <c r="J14" s="361">
        <v>0</v>
      </c>
      <c r="K14" s="412" t="s">
        <v>27</v>
      </c>
    </row>
    <row r="15" s="1" customFormat="1" ht="25.5" customHeight="1" spans="1:11">
      <c r="A15" s="521" t="s">
        <v>91</v>
      </c>
      <c r="B15" s="356" t="s">
        <v>92</v>
      </c>
      <c r="C15" s="357"/>
      <c r="D15" s="357"/>
      <c r="E15" s="353">
        <f t="shared" si="7"/>
        <v>106000000</v>
      </c>
      <c r="F15" s="358">
        <v>106000000</v>
      </c>
      <c r="G15" s="358">
        <v>0</v>
      </c>
      <c r="H15" s="358">
        <v>0</v>
      </c>
      <c r="I15" s="358">
        <v>0</v>
      </c>
      <c r="J15" s="358">
        <v>0</v>
      </c>
      <c r="K15" s="411" t="s">
        <v>93</v>
      </c>
    </row>
    <row r="16" ht="18.75" spans="1:11">
      <c r="A16" s="315" t="s">
        <v>36</v>
      </c>
      <c r="B16" s="367" t="s">
        <v>37</v>
      </c>
      <c r="C16" s="367"/>
      <c r="D16" s="367"/>
      <c r="E16" s="367"/>
      <c r="F16" s="367"/>
      <c r="G16" s="367"/>
      <c r="H16" s="367"/>
      <c r="I16" s="367"/>
      <c r="J16" s="367"/>
      <c r="K16" s="367"/>
    </row>
    <row r="17" ht="17.25" customHeight="1" spans="1:11">
      <c r="A17" s="368" t="s">
        <v>38</v>
      </c>
      <c r="B17" s="369" t="s">
        <v>80</v>
      </c>
      <c r="C17" s="370"/>
      <c r="D17" s="370"/>
      <c r="E17" s="371">
        <f t="shared" ref="E17:E42" si="8">F17+G17+H17+I17+J17</f>
        <v>274328814.147732</v>
      </c>
      <c r="F17" s="371">
        <f>F18+F19+F20+F21</f>
        <v>121519811.067732</v>
      </c>
      <c r="G17" s="371">
        <f t="shared" ref="G17:J17" si="9">G18+G19+G20+G21</f>
        <v>76404501.54</v>
      </c>
      <c r="H17" s="371">
        <f t="shared" si="9"/>
        <v>76404501.54</v>
      </c>
      <c r="I17" s="371">
        <f t="shared" si="9"/>
        <v>0</v>
      </c>
      <c r="J17" s="371">
        <f t="shared" si="9"/>
        <v>0</v>
      </c>
      <c r="K17" s="413" t="s">
        <v>10</v>
      </c>
    </row>
    <row r="18" ht="21.75" customHeight="1" spans="1:11">
      <c r="A18" s="372"/>
      <c r="B18" s="373"/>
      <c r="C18" s="370"/>
      <c r="D18" s="370"/>
      <c r="E18" s="371">
        <f t="shared" si="8"/>
        <v>84818282.07</v>
      </c>
      <c r="F18" s="371">
        <f>F30</f>
        <v>84818282.07</v>
      </c>
      <c r="G18" s="371">
        <f t="shared" ref="G18:J18" si="10">G30</f>
        <v>0</v>
      </c>
      <c r="H18" s="371">
        <f t="shared" si="10"/>
        <v>0</v>
      </c>
      <c r="I18" s="371">
        <f t="shared" si="10"/>
        <v>0</v>
      </c>
      <c r="J18" s="371">
        <f t="shared" si="10"/>
        <v>0</v>
      </c>
      <c r="K18" s="371" t="s">
        <v>14</v>
      </c>
    </row>
    <row r="19" spans="1:11">
      <c r="A19" s="372"/>
      <c r="B19" s="373"/>
      <c r="C19" s="374"/>
      <c r="D19" s="374"/>
      <c r="E19" s="371">
        <f t="shared" si="8"/>
        <v>174908904.67</v>
      </c>
      <c r="F19" s="371">
        <f>F23</f>
        <v>32086740.83</v>
      </c>
      <c r="G19" s="371">
        <f t="shared" ref="G19:J19" si="11">G23</f>
        <v>71411081.92</v>
      </c>
      <c r="H19" s="371">
        <f t="shared" si="11"/>
        <v>71411081.92</v>
      </c>
      <c r="I19" s="371">
        <f t="shared" si="11"/>
        <v>0</v>
      </c>
      <c r="J19" s="371">
        <f t="shared" si="11"/>
        <v>0</v>
      </c>
      <c r="K19" s="261" t="s">
        <v>15</v>
      </c>
    </row>
    <row r="20" spans="1:11">
      <c r="A20" s="372"/>
      <c r="B20" s="373"/>
      <c r="C20" s="374"/>
      <c r="D20" s="374"/>
      <c r="E20" s="371">
        <f t="shared" si="8"/>
        <v>10575634.327732</v>
      </c>
      <c r="F20" s="371">
        <f>F24+F31</f>
        <v>2714400.28773196</v>
      </c>
      <c r="G20" s="371">
        <f>G24+G31</f>
        <v>3930617.02</v>
      </c>
      <c r="H20" s="371">
        <f>H24+H31</f>
        <v>3930617.02</v>
      </c>
      <c r="I20" s="371">
        <f>I24+I31</f>
        <v>0</v>
      </c>
      <c r="J20" s="371">
        <f>J24+J31</f>
        <v>0</v>
      </c>
      <c r="K20" s="261" t="s">
        <v>16</v>
      </c>
    </row>
    <row r="21" spans="1:11">
      <c r="A21" s="375"/>
      <c r="B21" s="376"/>
      <c r="C21" s="374"/>
      <c r="D21" s="374"/>
      <c r="E21" s="371">
        <f t="shared" si="8"/>
        <v>4025993.08</v>
      </c>
      <c r="F21" s="371">
        <f>F32</f>
        <v>1900387.88</v>
      </c>
      <c r="G21" s="371">
        <f t="shared" ref="G21:J21" si="12">G32</f>
        <v>1062802.6</v>
      </c>
      <c r="H21" s="371">
        <f t="shared" si="12"/>
        <v>1062802.6</v>
      </c>
      <c r="I21" s="371">
        <f t="shared" si="12"/>
        <v>0</v>
      </c>
      <c r="J21" s="371">
        <f t="shared" si="12"/>
        <v>0</v>
      </c>
      <c r="K21" s="371" t="s">
        <v>17</v>
      </c>
    </row>
    <row r="22" ht="15.75" spans="1:11">
      <c r="A22" s="377" t="s">
        <v>40</v>
      </c>
      <c r="B22" s="374" t="s">
        <v>81</v>
      </c>
      <c r="C22" s="378"/>
      <c r="D22" s="378"/>
      <c r="E22" s="371">
        <f t="shared" si="8"/>
        <v>180318458.417732</v>
      </c>
      <c r="F22" s="379">
        <f>SUM(F23:F24)</f>
        <v>33079114.257732</v>
      </c>
      <c r="G22" s="379">
        <f t="shared" ref="G22:J22" si="13">SUM(G23:G24)</f>
        <v>73619672.08</v>
      </c>
      <c r="H22" s="379">
        <f t="shared" si="13"/>
        <v>73619672.08</v>
      </c>
      <c r="I22" s="379">
        <f t="shared" si="13"/>
        <v>0</v>
      </c>
      <c r="J22" s="379">
        <f t="shared" si="13"/>
        <v>0</v>
      </c>
      <c r="K22" s="414" t="s">
        <v>10</v>
      </c>
    </row>
    <row r="23" ht="15.75" spans="1:11">
      <c r="A23" s="380"/>
      <c r="B23" s="374"/>
      <c r="C23" s="378"/>
      <c r="D23" s="378"/>
      <c r="E23" s="371">
        <f t="shared" si="8"/>
        <v>174908904.67</v>
      </c>
      <c r="F23" s="381">
        <f>F25+F26</f>
        <v>32086740.83</v>
      </c>
      <c r="G23" s="381">
        <f>G25+G26</f>
        <v>71411081.92</v>
      </c>
      <c r="H23" s="381">
        <f>H25+H26</f>
        <v>71411081.92</v>
      </c>
      <c r="I23" s="381">
        <f>I25+I26</f>
        <v>0</v>
      </c>
      <c r="J23" s="381">
        <f>J25+J26</f>
        <v>0</v>
      </c>
      <c r="K23" s="414" t="s">
        <v>15</v>
      </c>
    </row>
    <row r="24" ht="15.75" spans="1:11">
      <c r="A24" s="380"/>
      <c r="B24" s="374"/>
      <c r="C24" s="378"/>
      <c r="D24" s="378"/>
      <c r="E24" s="371">
        <f t="shared" si="8"/>
        <v>5409553.74773196</v>
      </c>
      <c r="F24" s="381">
        <f>F27+F28</f>
        <v>992373.427731959</v>
      </c>
      <c r="G24" s="381">
        <f>G27+G28</f>
        <v>2208590.16</v>
      </c>
      <c r="H24" s="381">
        <f>H27+H28</f>
        <v>2208590.16</v>
      </c>
      <c r="I24" s="381">
        <f>I27+I28</f>
        <v>0</v>
      </c>
      <c r="J24" s="381">
        <f>J27+J28</f>
        <v>0</v>
      </c>
      <c r="K24" s="414" t="s">
        <v>16</v>
      </c>
    </row>
    <row r="25" ht="15.75" spans="1:11">
      <c r="A25" s="377" t="s">
        <v>42</v>
      </c>
      <c r="B25" s="374" t="s">
        <v>43</v>
      </c>
      <c r="C25" s="27"/>
      <c r="D25" s="27"/>
      <c r="E25" s="371">
        <f t="shared" si="8"/>
        <v>169222163.84</v>
      </c>
      <c r="F25" s="28">
        <v>26400000</v>
      </c>
      <c r="G25" s="28">
        <v>71411081.92</v>
      </c>
      <c r="H25" s="28">
        <v>71411081.92</v>
      </c>
      <c r="I25" s="28">
        <v>0</v>
      </c>
      <c r="J25" s="28">
        <v>0</v>
      </c>
      <c r="K25" s="64" t="s">
        <v>23</v>
      </c>
    </row>
    <row r="26" ht="15.75" spans="1:11">
      <c r="A26" s="380"/>
      <c r="B26" s="374"/>
      <c r="C26" s="27"/>
      <c r="D26" s="27"/>
      <c r="E26" s="371">
        <f t="shared" si="8"/>
        <v>5686740.83</v>
      </c>
      <c r="F26" s="28">
        <v>5686740.83</v>
      </c>
      <c r="G26" s="28">
        <v>0</v>
      </c>
      <c r="H26" s="28">
        <v>0</v>
      </c>
      <c r="I26" s="28">
        <v>0</v>
      </c>
      <c r="J26" s="28">
        <v>0</v>
      </c>
      <c r="K26" s="64" t="s">
        <v>24</v>
      </c>
    </row>
    <row r="27" ht="15.75" spans="1:11">
      <c r="A27" s="380"/>
      <c r="B27" s="374"/>
      <c r="C27" s="27"/>
      <c r="D27" s="27"/>
      <c r="E27" s="371">
        <f t="shared" si="8"/>
        <v>5233675.16536083</v>
      </c>
      <c r="F27" s="28">
        <f t="shared" ref="F27:F28" si="14">F25*3/97</f>
        <v>816494.845360825</v>
      </c>
      <c r="G27" s="28">
        <v>2208590.16</v>
      </c>
      <c r="H27" s="28">
        <v>2208590.16</v>
      </c>
      <c r="I27" s="28">
        <v>0</v>
      </c>
      <c r="J27" s="28">
        <v>0</v>
      </c>
      <c r="K27" s="64" t="s">
        <v>44</v>
      </c>
    </row>
    <row r="28" ht="15.75" spans="1:11">
      <c r="A28" s="380"/>
      <c r="B28" s="374"/>
      <c r="C28" s="27"/>
      <c r="D28" s="27"/>
      <c r="E28" s="371">
        <f t="shared" si="8"/>
        <v>175878.582371134</v>
      </c>
      <c r="F28" s="28">
        <f t="shared" si="14"/>
        <v>175878.582371134</v>
      </c>
      <c r="G28" s="28">
        <v>0</v>
      </c>
      <c r="H28" s="28">
        <v>0</v>
      </c>
      <c r="I28" s="28">
        <v>0</v>
      </c>
      <c r="J28" s="28">
        <v>0</v>
      </c>
      <c r="K28" s="64" t="s">
        <v>45</v>
      </c>
    </row>
    <row r="29" ht="15.75" customHeight="1" spans="1:11">
      <c r="A29" s="377" t="s">
        <v>48</v>
      </c>
      <c r="B29" s="382" t="s">
        <v>82</v>
      </c>
      <c r="C29" s="383"/>
      <c r="D29" s="383"/>
      <c r="E29" s="371">
        <f t="shared" si="8"/>
        <v>89984362.65</v>
      </c>
      <c r="F29" s="384">
        <f>SUM(F30:F31)</f>
        <v>86540308.93</v>
      </c>
      <c r="G29" s="384">
        <f t="shared" ref="G29:J29" si="15">SUM(G30:G31)</f>
        <v>1722026.86</v>
      </c>
      <c r="H29" s="384">
        <f t="shared" si="15"/>
        <v>1722026.86</v>
      </c>
      <c r="I29" s="384">
        <f t="shared" si="15"/>
        <v>0</v>
      </c>
      <c r="J29" s="384">
        <f t="shared" si="15"/>
        <v>0</v>
      </c>
      <c r="K29" s="415" t="s">
        <v>50</v>
      </c>
    </row>
    <row r="30" ht="15.75" spans="1:11">
      <c r="A30" s="380"/>
      <c r="B30" s="385"/>
      <c r="C30" s="383"/>
      <c r="D30" s="383"/>
      <c r="E30" s="371">
        <f t="shared" si="8"/>
        <v>84818282.07</v>
      </c>
      <c r="F30" s="386">
        <v>84818282.07</v>
      </c>
      <c r="G30" s="386">
        <v>0</v>
      </c>
      <c r="H30" s="386">
        <v>0</v>
      </c>
      <c r="I30" s="386">
        <v>0</v>
      </c>
      <c r="J30" s="386">
        <v>0</v>
      </c>
      <c r="K30" s="415" t="s">
        <v>20</v>
      </c>
    </row>
    <row r="31" ht="21" customHeight="1" spans="1:11">
      <c r="A31" s="380"/>
      <c r="B31" s="385"/>
      <c r="C31" s="383"/>
      <c r="D31" s="383"/>
      <c r="E31" s="371">
        <f t="shared" si="8"/>
        <v>5166080.58</v>
      </c>
      <c r="F31" s="386">
        <v>1722026.86</v>
      </c>
      <c r="G31" s="386">
        <v>1722026.86</v>
      </c>
      <c r="H31" s="386">
        <v>1722026.86</v>
      </c>
      <c r="I31" s="386">
        <v>0</v>
      </c>
      <c r="J31" s="386">
        <v>0</v>
      </c>
      <c r="K31" s="415" t="s">
        <v>44</v>
      </c>
    </row>
    <row r="32" s="1" customFormat="1" ht="15.75" spans="1:11">
      <c r="A32" s="377" t="s">
        <v>83</v>
      </c>
      <c r="B32" s="382" t="s">
        <v>84</v>
      </c>
      <c r="C32" s="357"/>
      <c r="D32" s="357"/>
      <c r="E32" s="371">
        <f t="shared" si="8"/>
        <v>4025993.08</v>
      </c>
      <c r="F32" s="386">
        <f>F34+F33</f>
        <v>1900387.88</v>
      </c>
      <c r="G32" s="386">
        <f t="shared" ref="G32:J32" si="16">G34+G33</f>
        <v>1062802.6</v>
      </c>
      <c r="H32" s="386">
        <f t="shared" si="16"/>
        <v>1062802.6</v>
      </c>
      <c r="I32" s="386">
        <f t="shared" si="16"/>
        <v>0</v>
      </c>
      <c r="J32" s="386">
        <f t="shared" si="16"/>
        <v>0</v>
      </c>
      <c r="K32" s="416" t="s">
        <v>13</v>
      </c>
    </row>
    <row r="33" s="1" customFormat="1" ht="15.75" spans="1:11">
      <c r="A33" s="380"/>
      <c r="B33" s="385"/>
      <c r="C33" s="357"/>
      <c r="D33" s="357"/>
      <c r="E33" s="371">
        <f t="shared" si="8"/>
        <v>900387.88</v>
      </c>
      <c r="F33" s="386">
        <f>1021600-121212.12</f>
        <v>900387.88</v>
      </c>
      <c r="G33" s="386">
        <v>0</v>
      </c>
      <c r="H33" s="386">
        <v>0</v>
      </c>
      <c r="I33" s="386">
        <v>0</v>
      </c>
      <c r="J33" s="386">
        <v>0</v>
      </c>
      <c r="K33" s="415" t="s">
        <v>29</v>
      </c>
    </row>
    <row r="34" s="1" customFormat="1" ht="15.75" spans="1:11">
      <c r="A34" s="380"/>
      <c r="B34" s="385"/>
      <c r="C34" s="357"/>
      <c r="D34" s="357"/>
      <c r="E34" s="371">
        <f t="shared" si="8"/>
        <v>3125605.2</v>
      </c>
      <c r="F34" s="386">
        <f>1000000</f>
        <v>1000000</v>
      </c>
      <c r="G34" s="386">
        <f>1069506.14-6703.54</f>
        <v>1062802.6</v>
      </c>
      <c r="H34" s="386">
        <f>1271892.85-209090.25</f>
        <v>1062802.6</v>
      </c>
      <c r="I34" s="386">
        <v>0</v>
      </c>
      <c r="J34" s="386">
        <v>0</v>
      </c>
      <c r="K34" s="415" t="s">
        <v>30</v>
      </c>
    </row>
    <row r="35" ht="18.75" spans="1:11">
      <c r="A35" s="315" t="s">
        <v>55</v>
      </c>
      <c r="B35" s="367" t="s">
        <v>56</v>
      </c>
      <c r="C35" s="367"/>
      <c r="D35" s="367"/>
      <c r="E35" s="367"/>
      <c r="F35" s="367"/>
      <c r="G35" s="367"/>
      <c r="H35" s="367"/>
      <c r="I35" s="367"/>
      <c r="J35" s="367"/>
      <c r="K35" s="367"/>
    </row>
    <row r="36" ht="15.75" spans="1:11">
      <c r="A36" s="387" t="s">
        <v>57</v>
      </c>
      <c r="B36" s="388" t="s">
        <v>85</v>
      </c>
      <c r="C36" s="389"/>
      <c r="D36" s="389"/>
      <c r="E36" s="390">
        <f t="shared" si="8"/>
        <v>12121212.12</v>
      </c>
      <c r="F36" s="391">
        <f>F37+F38</f>
        <v>12121212.12</v>
      </c>
      <c r="G36" s="391">
        <f t="shared" ref="G36:J36" si="17">G37+G38</f>
        <v>0</v>
      </c>
      <c r="H36" s="391">
        <f t="shared" si="17"/>
        <v>0</v>
      </c>
      <c r="I36" s="391">
        <f t="shared" si="17"/>
        <v>0</v>
      </c>
      <c r="J36" s="391">
        <f t="shared" si="17"/>
        <v>0</v>
      </c>
      <c r="K36" s="418" t="s">
        <v>10</v>
      </c>
    </row>
    <row r="37" ht="15.75" spans="1:11">
      <c r="A37" s="392"/>
      <c r="B37" s="388"/>
      <c r="C37" s="389"/>
      <c r="D37" s="389"/>
      <c r="E37" s="390">
        <f t="shared" si="8"/>
        <v>12000000</v>
      </c>
      <c r="F37" s="391">
        <f>F39+F40</f>
        <v>12000000</v>
      </c>
      <c r="G37" s="391">
        <f t="shared" ref="G37:J37" si="18">G39+G40</f>
        <v>0</v>
      </c>
      <c r="H37" s="391">
        <f t="shared" si="18"/>
        <v>0</v>
      </c>
      <c r="I37" s="391">
        <f t="shared" si="18"/>
        <v>0</v>
      </c>
      <c r="J37" s="391">
        <f t="shared" si="18"/>
        <v>0</v>
      </c>
      <c r="K37" s="418" t="s">
        <v>15</v>
      </c>
    </row>
    <row r="38" ht="15.75" spans="1:11">
      <c r="A38" s="392"/>
      <c r="B38" s="388"/>
      <c r="C38" s="389"/>
      <c r="D38" s="389"/>
      <c r="E38" s="390">
        <f t="shared" si="8"/>
        <v>121212.12</v>
      </c>
      <c r="F38" s="391">
        <f>F41+F42</f>
        <v>121212.12</v>
      </c>
      <c r="G38" s="391">
        <f t="shared" ref="G38:J38" si="19">G41+G42</f>
        <v>0</v>
      </c>
      <c r="H38" s="391">
        <f t="shared" si="19"/>
        <v>0</v>
      </c>
      <c r="I38" s="391">
        <f t="shared" si="19"/>
        <v>0</v>
      </c>
      <c r="J38" s="391">
        <f t="shared" si="19"/>
        <v>0</v>
      </c>
      <c r="K38" s="418" t="s">
        <v>16</v>
      </c>
    </row>
    <row r="39" ht="15.75" spans="1:11">
      <c r="A39" s="393" t="s">
        <v>59</v>
      </c>
      <c r="B39" s="394" t="s">
        <v>86</v>
      </c>
      <c r="C39" s="27"/>
      <c r="D39" s="27"/>
      <c r="E39" s="390">
        <f t="shared" si="8"/>
        <v>12000000</v>
      </c>
      <c r="F39" s="28">
        <v>12000000</v>
      </c>
      <c r="G39" s="28">
        <v>0</v>
      </c>
      <c r="H39" s="28">
        <v>0</v>
      </c>
      <c r="I39" s="28">
        <v>0</v>
      </c>
      <c r="J39" s="28">
        <v>0</v>
      </c>
      <c r="K39" s="411" t="s">
        <v>65</v>
      </c>
    </row>
    <row r="40" ht="15.75" spans="1:11">
      <c r="A40" s="393"/>
      <c r="B40" s="394"/>
      <c r="C40" s="27"/>
      <c r="D40" s="27"/>
      <c r="E40" s="390">
        <f t="shared" si="8"/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412" t="s">
        <v>67</v>
      </c>
    </row>
    <row r="41" ht="15.75" spans="1:11">
      <c r="A41" s="393"/>
      <c r="B41" s="394"/>
      <c r="C41" s="27"/>
      <c r="D41" s="27"/>
      <c r="E41" s="390">
        <f t="shared" si="8"/>
        <v>121212.12</v>
      </c>
      <c r="F41" s="28">
        <v>121212.12</v>
      </c>
      <c r="G41" s="28">
        <v>0</v>
      </c>
      <c r="H41" s="28">
        <v>0</v>
      </c>
      <c r="I41" s="28">
        <v>0</v>
      </c>
      <c r="J41" s="28">
        <v>0</v>
      </c>
      <c r="K41" s="411" t="s">
        <v>44</v>
      </c>
    </row>
    <row r="42" ht="15.75" spans="1:11">
      <c r="A42" s="393"/>
      <c r="B42" s="395"/>
      <c r="C42" s="27"/>
      <c r="D42" s="27"/>
      <c r="E42" s="390">
        <f t="shared" si="8"/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412" t="s">
        <v>45</v>
      </c>
    </row>
    <row r="43" ht="18.75" customHeight="1" spans="1:11">
      <c r="A43" s="396" t="s">
        <v>70</v>
      </c>
      <c r="B43" s="396"/>
      <c r="C43" s="396"/>
      <c r="D43" s="517"/>
      <c r="E43" s="279">
        <f t="shared" ref="E43:E48" si="20">SUM(F43:J43)</f>
        <v>469538010.307732</v>
      </c>
      <c r="F43" s="282">
        <f>F44+F45+F46+F47+F48</f>
        <v>276035871.737732</v>
      </c>
      <c r="G43" s="282">
        <f t="shared" ref="G43:H43" si="21">G44+G45+G46+G47+G48</f>
        <v>116888546.78</v>
      </c>
      <c r="H43" s="282">
        <f t="shared" si="21"/>
        <v>76613591.79</v>
      </c>
      <c r="I43" s="282">
        <f t="shared" ref="I43:J43" si="22">I44+I45+I46+I47+I48</f>
        <v>0</v>
      </c>
      <c r="J43" s="282">
        <f t="shared" si="22"/>
        <v>0</v>
      </c>
      <c r="K43" s="340"/>
    </row>
    <row r="44" ht="18.75" spans="1:11">
      <c r="A44" s="399"/>
      <c r="B44" s="399"/>
      <c r="C44" s="399"/>
      <c r="D44" s="518"/>
      <c r="E44" s="279">
        <f t="shared" si="20"/>
        <v>159766855.39</v>
      </c>
      <c r="F44" s="280">
        <f>F4+F18</f>
        <v>120297399.5</v>
      </c>
      <c r="G44" s="280">
        <f t="shared" ref="G44:J44" si="23">G4+G18</f>
        <v>39469455.89</v>
      </c>
      <c r="H44" s="280">
        <f t="shared" si="23"/>
        <v>0</v>
      </c>
      <c r="I44" s="280">
        <f t="shared" si="23"/>
        <v>0</v>
      </c>
      <c r="J44" s="280">
        <f t="shared" si="23"/>
        <v>0</v>
      </c>
      <c r="K44" s="420" t="s">
        <v>14</v>
      </c>
    </row>
    <row r="45" ht="18.75" spans="1:11">
      <c r="A45" s="399"/>
      <c r="B45" s="399"/>
      <c r="C45" s="399"/>
      <c r="D45" s="518"/>
      <c r="E45" s="279">
        <f t="shared" si="20"/>
        <v>106000000</v>
      </c>
      <c r="F45" s="280">
        <f>F5</f>
        <v>106000000</v>
      </c>
      <c r="G45" s="280">
        <f t="shared" ref="G45:J45" si="24">G5</f>
        <v>0</v>
      </c>
      <c r="H45" s="280">
        <f t="shared" si="24"/>
        <v>0</v>
      </c>
      <c r="I45" s="280">
        <f t="shared" si="24"/>
        <v>0</v>
      </c>
      <c r="J45" s="280">
        <f t="shared" si="24"/>
        <v>0</v>
      </c>
      <c r="K45" s="420" t="s">
        <v>90</v>
      </c>
    </row>
    <row r="46" ht="18.75" spans="1:11">
      <c r="A46" s="399"/>
      <c r="B46" s="399"/>
      <c r="C46" s="399"/>
      <c r="D46" s="518"/>
      <c r="E46" s="279">
        <f t="shared" si="20"/>
        <v>188438467.39</v>
      </c>
      <c r="F46" s="280">
        <f t="shared" ref="F46:J47" si="25">F6+F19+F37</f>
        <v>44810804.45</v>
      </c>
      <c r="G46" s="280">
        <f t="shared" si="25"/>
        <v>72216581.02</v>
      </c>
      <c r="H46" s="280">
        <f t="shared" si="25"/>
        <v>71411081.92</v>
      </c>
      <c r="I46" s="280">
        <f t="shared" si="25"/>
        <v>0</v>
      </c>
      <c r="J46" s="280">
        <f t="shared" si="25"/>
        <v>0</v>
      </c>
      <c r="K46" s="420" t="s">
        <v>71</v>
      </c>
    </row>
    <row r="47" ht="18.75" customHeight="1" spans="1:11">
      <c r="A47" s="399"/>
      <c r="B47" s="399"/>
      <c r="C47" s="399"/>
      <c r="D47" s="518"/>
      <c r="E47" s="279">
        <f t="shared" si="20"/>
        <v>11306694.447732</v>
      </c>
      <c r="F47" s="280">
        <f t="shared" si="25"/>
        <v>3027279.90773196</v>
      </c>
      <c r="G47" s="280">
        <f t="shared" si="25"/>
        <v>4139707.27</v>
      </c>
      <c r="H47" s="280">
        <f t="shared" si="25"/>
        <v>4139707.27</v>
      </c>
      <c r="I47" s="280">
        <f t="shared" si="25"/>
        <v>0</v>
      </c>
      <c r="J47" s="280">
        <f t="shared" si="25"/>
        <v>0</v>
      </c>
      <c r="K47" s="287" t="s">
        <v>16</v>
      </c>
    </row>
    <row r="48" ht="18.75" customHeight="1" spans="1:11">
      <c r="A48" s="402"/>
      <c r="B48" s="402"/>
      <c r="C48" s="402"/>
      <c r="D48" s="519"/>
      <c r="E48" s="279">
        <f t="shared" si="20"/>
        <v>4025993.08</v>
      </c>
      <c r="F48" s="282">
        <f>F21</f>
        <v>1900387.88</v>
      </c>
      <c r="G48" s="282">
        <f t="shared" ref="G48:J48" si="26">G21</f>
        <v>1062802.6</v>
      </c>
      <c r="H48" s="282">
        <f t="shared" si="26"/>
        <v>1062802.6</v>
      </c>
      <c r="I48" s="282">
        <f t="shared" si="26"/>
        <v>0</v>
      </c>
      <c r="J48" s="282">
        <f t="shared" si="26"/>
        <v>0</v>
      </c>
      <c r="K48" s="287" t="s">
        <v>73</v>
      </c>
    </row>
    <row r="49" ht="18.75" spans="1:11">
      <c r="A49" s="284" t="s">
        <v>89</v>
      </c>
      <c r="B49" s="284"/>
      <c r="C49" s="284"/>
      <c r="D49" s="284"/>
      <c r="E49" s="323"/>
      <c r="F49" s="323"/>
      <c r="G49" s="323"/>
      <c r="H49" s="323"/>
      <c r="I49" s="323"/>
      <c r="J49" s="323"/>
      <c r="K49" s="340"/>
    </row>
    <row r="50" ht="15.75" spans="2:11">
      <c r="B50" s="467"/>
      <c r="C50" s="467"/>
      <c r="D50" s="467"/>
      <c r="J50" s="479"/>
      <c r="K50" s="479"/>
    </row>
    <row r="51" ht="15.75" spans="9:11">
      <c r="I51" s="3" t="s">
        <v>87</v>
      </c>
      <c r="J51" s="480"/>
      <c r="K51" s="480">
        <v>178063747.64</v>
      </c>
    </row>
    <row r="52" s="1" customFormat="1" ht="15.75" spans="1:11">
      <c r="A52" s="3"/>
      <c r="B52" s="3"/>
      <c r="C52" s="3"/>
      <c r="D52" s="3"/>
      <c r="E52" s="3"/>
      <c r="F52" s="3"/>
      <c r="G52" s="3"/>
      <c r="H52" s="3"/>
      <c r="I52" s="3" t="s">
        <v>88</v>
      </c>
      <c r="J52" s="480"/>
      <c r="K52" s="480">
        <v>506829756.46</v>
      </c>
    </row>
    <row r="53" s="1" customFormat="1" ht="15.75" spans="1:11">
      <c r="A53" s="3"/>
      <c r="B53" s="3"/>
      <c r="C53" s="3"/>
      <c r="D53" s="3"/>
      <c r="E53" s="3"/>
      <c r="F53" s="3"/>
      <c r="G53" s="3"/>
      <c r="H53" s="3"/>
      <c r="I53" s="3"/>
      <c r="J53" s="480"/>
      <c r="K53" s="481">
        <f>E43+K51+K52</f>
        <v>1154431514.40773</v>
      </c>
    </row>
    <row r="54" s="1" customFormat="1" ht="15.75" spans="1:11">
      <c r="A54" s="3"/>
      <c r="B54" s="3"/>
      <c r="C54" s="3"/>
      <c r="D54" s="3"/>
      <c r="E54" s="3"/>
      <c r="F54" s="3"/>
      <c r="G54" s="3"/>
      <c r="H54" s="3"/>
      <c r="I54" s="3"/>
      <c r="J54" s="480"/>
      <c r="K54" s="480"/>
    </row>
    <row r="55" s="1" customFormat="1" ht="15.75" spans="1:11">
      <c r="A55" s="3"/>
      <c r="B55" s="3"/>
      <c r="C55" s="3"/>
      <c r="D55" s="3"/>
      <c r="E55" s="3"/>
      <c r="F55" s="3"/>
      <c r="G55" s="3"/>
      <c r="H55" s="3"/>
      <c r="I55" s="3"/>
      <c r="J55" s="480"/>
      <c r="K55" s="480"/>
    </row>
    <row r="56" s="1" customFormat="1" ht="15.75" spans="1:11">
      <c r="A56" s="3"/>
      <c r="B56" s="3"/>
      <c r="C56" s="3"/>
      <c r="D56" s="3"/>
      <c r="E56" s="3"/>
      <c r="F56" s="3"/>
      <c r="G56" s="3"/>
      <c r="H56" s="3"/>
      <c r="I56" s="3"/>
      <c r="J56" s="480"/>
      <c r="K56" s="480"/>
    </row>
  </sheetData>
  <sheetProtection algorithmName="SHA-512" hashValue="kUyDa4Ffc+IRLHYeDVzkcTo4cE/3dUgquj4wciNh2Nxu4NMXeMsOCubo/cu8HJo0F19wGlFze0lYEWlm+2iRIw==" saltValue="YH3vzte0Z5LDj/j8s57GOg==" spinCount="100000" sheet="1" objects="1" scenarios="1"/>
  <mergeCells count="21">
    <mergeCell ref="B16:K16"/>
    <mergeCell ref="B35:K35"/>
    <mergeCell ref="A49:D49"/>
    <mergeCell ref="A3:A7"/>
    <mergeCell ref="A8:A14"/>
    <mergeCell ref="A17:A21"/>
    <mergeCell ref="A22:A24"/>
    <mergeCell ref="A25:A28"/>
    <mergeCell ref="A29:A31"/>
    <mergeCell ref="A32:A34"/>
    <mergeCell ref="A36:A38"/>
    <mergeCell ref="A39:A42"/>
    <mergeCell ref="B3:B7"/>
    <mergeCell ref="B8:B14"/>
    <mergeCell ref="B17:B21"/>
    <mergeCell ref="B22:B24"/>
    <mergeCell ref="B25:B28"/>
    <mergeCell ref="B29:B31"/>
    <mergeCell ref="B32:B34"/>
    <mergeCell ref="B36:B38"/>
    <mergeCell ref="B39:B42"/>
  </mergeCells>
  <pageMargins left="0.118110236220472" right="0.118110236220472" top="0.15748031496063" bottom="0.15748031496063" header="0.31496062992126" footer="0.31496062992126"/>
  <pageSetup paperSize="9" scale="60" orientation="portrait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8571428571429" style="3" customWidth="1"/>
    <col min="7" max="7" width="18.1428571428571" style="3" customWidth="1"/>
    <col min="8" max="8" width="17.2857142857143" style="3" customWidth="1"/>
    <col min="9" max="9" width="11" style="3" customWidth="1"/>
    <col min="10" max="10" width="10.2857142857143" style="3" customWidth="1"/>
    <col min="11" max="11" width="25.8571428571429" style="4" customWidth="1"/>
    <col min="12" max="16384" width="39" style="8"/>
  </cols>
  <sheetData>
    <row r="1" ht="21" spans="1:11">
      <c r="A1" s="483" t="s">
        <v>0</v>
      </c>
      <c r="B1" s="484" t="s">
        <v>1</v>
      </c>
      <c r="C1" s="484" t="s">
        <v>2</v>
      </c>
      <c r="D1" s="484" t="s">
        <v>3</v>
      </c>
      <c r="E1" s="484" t="s">
        <v>4</v>
      </c>
      <c r="F1" s="485">
        <v>2023</v>
      </c>
      <c r="G1" s="485">
        <v>2024</v>
      </c>
      <c r="H1" s="486">
        <v>2025</v>
      </c>
      <c r="I1" s="485">
        <v>2026</v>
      </c>
      <c r="J1" s="485">
        <v>2027</v>
      </c>
      <c r="K1" s="520" t="s">
        <v>94</v>
      </c>
    </row>
    <row r="2" s="1" customFormat="1" ht="19.5" spans="1:11">
      <c r="A2" s="427" t="s">
        <v>6</v>
      </c>
      <c r="B2" s="487" t="s">
        <v>7</v>
      </c>
      <c r="C2" s="429"/>
      <c r="D2" s="429"/>
      <c r="E2" s="429"/>
      <c r="F2" s="430"/>
      <c r="G2" s="430"/>
      <c r="H2" s="429"/>
      <c r="I2" s="430"/>
      <c r="J2" s="430"/>
      <c r="K2" s="469"/>
    </row>
    <row r="3" s="1" customFormat="1" ht="15.75" customHeight="1" spans="1:11">
      <c r="A3" s="350" t="s">
        <v>8</v>
      </c>
      <c r="B3" s="509" t="s">
        <v>77</v>
      </c>
      <c r="C3" s="352"/>
      <c r="D3" s="352"/>
      <c r="E3" s="353">
        <f>F3+G3+H3+I3+J3</f>
        <v>205639418.28</v>
      </c>
      <c r="F3" s="354">
        <f>SUM(F4:F7)</f>
        <v>165162076.58</v>
      </c>
      <c r="G3" s="354">
        <f>SUM(G4:G7)</f>
        <v>40477341.7</v>
      </c>
      <c r="H3" s="354">
        <f>SUM(H4:H7)</f>
        <v>0</v>
      </c>
      <c r="I3" s="354">
        <f>SUM(I4:I7)</f>
        <v>0</v>
      </c>
      <c r="J3" s="354">
        <f>SUM(J4:J7)</f>
        <v>0</v>
      </c>
      <c r="K3" s="408" t="s">
        <v>13</v>
      </c>
    </row>
    <row r="4" s="1" customFormat="1" ht="15.75" spans="1:11">
      <c r="A4" s="355"/>
      <c r="B4" s="510"/>
      <c r="C4" s="352"/>
      <c r="D4" s="352"/>
      <c r="E4" s="353">
        <f t="shared" ref="E4:E11" si="0">SUM(F4:J4)</f>
        <v>180948573.32</v>
      </c>
      <c r="F4" s="354">
        <f>F9+F10+F16</f>
        <v>141479117.43</v>
      </c>
      <c r="G4" s="354">
        <f t="shared" ref="G4:J4" si="1">G9+G10</f>
        <v>39469455.89</v>
      </c>
      <c r="H4" s="354">
        <f t="shared" si="1"/>
        <v>0</v>
      </c>
      <c r="I4" s="354">
        <f t="shared" si="1"/>
        <v>0</v>
      </c>
      <c r="J4" s="354">
        <f t="shared" si="1"/>
        <v>0</v>
      </c>
      <c r="K4" s="409" t="s">
        <v>78</v>
      </c>
    </row>
    <row r="5" s="1" customFormat="1" ht="15.75" spans="1:11">
      <c r="A5" s="355"/>
      <c r="B5" s="510"/>
      <c r="C5" s="352"/>
      <c r="D5" s="352"/>
      <c r="E5" s="353">
        <f t="shared" si="0"/>
        <v>1529562.72</v>
      </c>
      <c r="F5" s="354">
        <f>F11+F12</f>
        <v>724063.62</v>
      </c>
      <c r="G5" s="354">
        <f t="shared" ref="G5:J5" si="2">G11+G12</f>
        <v>805499.1</v>
      </c>
      <c r="H5" s="354">
        <f t="shared" si="2"/>
        <v>0</v>
      </c>
      <c r="I5" s="354">
        <f t="shared" si="2"/>
        <v>0</v>
      </c>
      <c r="J5" s="354">
        <f t="shared" si="2"/>
        <v>0</v>
      </c>
      <c r="K5" s="409" t="s">
        <v>71</v>
      </c>
    </row>
    <row r="6" s="1" customFormat="1" ht="15.75" spans="1:11">
      <c r="A6" s="355"/>
      <c r="B6" s="510"/>
      <c r="C6" s="352"/>
      <c r="D6" s="352"/>
      <c r="E6" s="353">
        <f t="shared" si="0"/>
        <v>384312.24</v>
      </c>
      <c r="F6" s="354">
        <f>F13+F14</f>
        <v>181925.53</v>
      </c>
      <c r="G6" s="354">
        <f t="shared" ref="G6:J6" si="3">G13+G14</f>
        <v>202386.71</v>
      </c>
      <c r="H6" s="354">
        <f t="shared" si="3"/>
        <v>0</v>
      </c>
      <c r="I6" s="354">
        <f t="shared" si="3"/>
        <v>0</v>
      </c>
      <c r="J6" s="354">
        <f t="shared" si="3"/>
        <v>0</v>
      </c>
      <c r="K6" s="409" t="s">
        <v>16</v>
      </c>
    </row>
    <row r="7" s="1" customFormat="1" ht="16.5" spans="1:11">
      <c r="A7" s="355"/>
      <c r="B7" s="510"/>
      <c r="C7" s="352"/>
      <c r="D7" s="352"/>
      <c r="E7" s="353">
        <f t="shared" si="0"/>
        <v>22776970</v>
      </c>
      <c r="F7" s="354">
        <f>F17</f>
        <v>22776970</v>
      </c>
      <c r="G7" s="354">
        <f t="shared" ref="G7:J7" si="4">G17</f>
        <v>0</v>
      </c>
      <c r="H7" s="354">
        <f t="shared" si="4"/>
        <v>0</v>
      </c>
      <c r="I7" s="354">
        <f t="shared" si="4"/>
        <v>0</v>
      </c>
      <c r="J7" s="354">
        <f t="shared" si="4"/>
        <v>0</v>
      </c>
      <c r="K7" s="409" t="s">
        <v>73</v>
      </c>
    </row>
    <row r="8" s="1" customFormat="1" ht="15.75" spans="1:11">
      <c r="A8" s="350" t="s">
        <v>11</v>
      </c>
      <c r="B8" s="511" t="s">
        <v>79</v>
      </c>
      <c r="C8" s="352"/>
      <c r="D8" s="352"/>
      <c r="E8" s="353">
        <f t="shared" si="0"/>
        <v>76862448.28</v>
      </c>
      <c r="F8" s="354">
        <f>F9+F10+F11+F12+F13+F14</f>
        <v>36385106.58</v>
      </c>
      <c r="G8" s="354">
        <f t="shared" ref="G8:J8" si="5">G9+G10+G11+G12+G13+G14</f>
        <v>40477341.7</v>
      </c>
      <c r="H8" s="354">
        <f t="shared" si="5"/>
        <v>0</v>
      </c>
      <c r="I8" s="354">
        <f t="shared" si="5"/>
        <v>0</v>
      </c>
      <c r="J8" s="354">
        <f t="shared" si="5"/>
        <v>0</v>
      </c>
      <c r="K8" s="408" t="s">
        <v>13</v>
      </c>
    </row>
    <row r="9" s="1" customFormat="1" ht="15.75" spans="1:11">
      <c r="A9" s="355"/>
      <c r="B9" s="512"/>
      <c r="C9" s="357"/>
      <c r="D9" s="357"/>
      <c r="E9" s="353">
        <f t="shared" si="0"/>
        <v>35479117.43</v>
      </c>
      <c r="F9" s="358">
        <v>35479117.43</v>
      </c>
      <c r="G9" s="360">
        <v>0</v>
      </c>
      <c r="H9" s="360">
        <v>0</v>
      </c>
      <c r="I9" s="410">
        <v>0</v>
      </c>
      <c r="J9" s="410">
        <v>0</v>
      </c>
      <c r="K9" s="411" t="s">
        <v>20</v>
      </c>
    </row>
    <row r="10" s="1" customFormat="1" ht="15.75" spans="1:11">
      <c r="A10" s="355"/>
      <c r="B10" s="512"/>
      <c r="C10" s="357"/>
      <c r="D10" s="357"/>
      <c r="E10" s="353">
        <f t="shared" si="0"/>
        <v>39469455.89</v>
      </c>
      <c r="F10" s="361">
        <v>0</v>
      </c>
      <c r="G10" s="361">
        <v>39469455.89</v>
      </c>
      <c r="H10" s="361">
        <v>0</v>
      </c>
      <c r="I10" s="361">
        <v>0</v>
      </c>
      <c r="J10" s="361">
        <v>0</v>
      </c>
      <c r="K10" s="412" t="s">
        <v>21</v>
      </c>
    </row>
    <row r="11" s="1" customFormat="1" ht="15.75" spans="1:11">
      <c r="A11" s="355"/>
      <c r="B11" s="512"/>
      <c r="C11" s="357"/>
      <c r="D11" s="357"/>
      <c r="E11" s="353">
        <f t="shared" si="0"/>
        <v>724063.62</v>
      </c>
      <c r="F11" s="359">
        <v>724063.62</v>
      </c>
      <c r="G11" s="359">
        <v>0</v>
      </c>
      <c r="H11" s="359">
        <v>0</v>
      </c>
      <c r="I11" s="359">
        <v>0</v>
      </c>
      <c r="J11" s="359">
        <v>0</v>
      </c>
      <c r="K11" s="411" t="s">
        <v>23</v>
      </c>
    </row>
    <row r="12" s="1" customFormat="1" ht="15.75" spans="1:11">
      <c r="A12" s="355"/>
      <c r="B12" s="512"/>
      <c r="C12" s="357"/>
      <c r="D12" s="357"/>
      <c r="E12" s="353">
        <f t="shared" ref="E12:E17" si="6">SUM(F12:J12)</f>
        <v>805499.1</v>
      </c>
      <c r="F12" s="361">
        <v>0</v>
      </c>
      <c r="G12" s="361">
        <v>805499.1</v>
      </c>
      <c r="H12" s="361">
        <v>0</v>
      </c>
      <c r="I12" s="361">
        <v>0</v>
      </c>
      <c r="J12" s="361">
        <v>0</v>
      </c>
      <c r="K12" s="412" t="s">
        <v>24</v>
      </c>
    </row>
    <row r="13" s="1" customFormat="1" ht="15.75" spans="1:11">
      <c r="A13" s="355"/>
      <c r="B13" s="512"/>
      <c r="C13" s="357"/>
      <c r="D13" s="357"/>
      <c r="E13" s="353">
        <f t="shared" si="6"/>
        <v>181925.53</v>
      </c>
      <c r="F13" s="359">
        <v>181925.53</v>
      </c>
      <c r="G13" s="359">
        <v>0</v>
      </c>
      <c r="H13" s="359">
        <v>0</v>
      </c>
      <c r="I13" s="359">
        <v>0</v>
      </c>
      <c r="J13" s="359">
        <v>0</v>
      </c>
      <c r="K13" s="411" t="s">
        <v>26</v>
      </c>
    </row>
    <row r="14" s="1" customFormat="1" ht="16.5" spans="1:11">
      <c r="A14" s="362"/>
      <c r="B14" s="513"/>
      <c r="C14" s="357"/>
      <c r="D14" s="357"/>
      <c r="E14" s="353">
        <f t="shared" si="6"/>
        <v>202386.71</v>
      </c>
      <c r="F14" s="361">
        <v>0</v>
      </c>
      <c r="G14" s="361">
        <v>202386.71</v>
      </c>
      <c r="H14" s="361">
        <v>0</v>
      </c>
      <c r="I14" s="361">
        <v>0</v>
      </c>
      <c r="J14" s="361">
        <v>0</v>
      </c>
      <c r="K14" s="412" t="s">
        <v>27</v>
      </c>
    </row>
    <row r="15" s="1" customFormat="1" ht="15.75" spans="1:11">
      <c r="A15" s="350" t="s">
        <v>91</v>
      </c>
      <c r="B15" s="514" t="s">
        <v>92</v>
      </c>
      <c r="C15" s="357"/>
      <c r="D15" s="357"/>
      <c r="E15" s="353">
        <f t="shared" si="6"/>
        <v>128776970</v>
      </c>
      <c r="F15" s="361">
        <f>F17+F16</f>
        <v>128776970</v>
      </c>
      <c r="G15" s="361">
        <f>++G17</f>
        <v>0</v>
      </c>
      <c r="H15" s="361">
        <f>+H16</f>
        <v>0</v>
      </c>
      <c r="I15" s="361">
        <f t="shared" ref="I15:J15" si="7">+I16</f>
        <v>0</v>
      </c>
      <c r="J15" s="361">
        <f t="shared" si="7"/>
        <v>0</v>
      </c>
      <c r="K15" s="412" t="s">
        <v>13</v>
      </c>
    </row>
    <row r="16" s="1" customFormat="1" ht="15.75" spans="1:11">
      <c r="A16" s="355"/>
      <c r="B16" s="515"/>
      <c r="C16" s="357"/>
      <c r="D16" s="357"/>
      <c r="E16" s="353">
        <f t="shared" si="6"/>
        <v>106000000</v>
      </c>
      <c r="F16" s="358">
        <v>106000000</v>
      </c>
      <c r="G16" s="358">
        <v>0</v>
      </c>
      <c r="H16" s="358">
        <v>0</v>
      </c>
      <c r="I16" s="358">
        <v>0</v>
      </c>
      <c r="J16" s="358">
        <v>0</v>
      </c>
      <c r="K16" s="411" t="s">
        <v>95</v>
      </c>
    </row>
    <row r="17" s="1" customFormat="1" ht="25.5" customHeight="1" spans="1:11">
      <c r="A17" s="355"/>
      <c r="B17" s="516"/>
      <c r="C17" s="357"/>
      <c r="D17" s="357"/>
      <c r="E17" s="353">
        <f t="shared" si="6"/>
        <v>22776970</v>
      </c>
      <c r="F17" s="358">
        <v>22776970</v>
      </c>
      <c r="G17" s="358">
        <v>0</v>
      </c>
      <c r="H17" s="358">
        <v>0</v>
      </c>
      <c r="I17" s="358">
        <v>0</v>
      </c>
      <c r="J17" s="358">
        <v>0</v>
      </c>
      <c r="K17" s="411" t="s">
        <v>96</v>
      </c>
    </row>
    <row r="18" ht="18.75" spans="1:11">
      <c r="A18" s="315" t="s">
        <v>36</v>
      </c>
      <c r="B18" s="367" t="s">
        <v>37</v>
      </c>
      <c r="C18" s="367"/>
      <c r="D18" s="367"/>
      <c r="E18" s="367"/>
      <c r="F18" s="367"/>
      <c r="G18" s="367"/>
      <c r="H18" s="367"/>
      <c r="I18" s="367"/>
      <c r="J18" s="367"/>
      <c r="K18" s="367"/>
    </row>
    <row r="19" ht="17.25" customHeight="1" spans="1:11">
      <c r="A19" s="368" t="s">
        <v>38</v>
      </c>
      <c r="B19" s="369" t="s">
        <v>80</v>
      </c>
      <c r="C19" s="370"/>
      <c r="D19" s="370"/>
      <c r="E19" s="371">
        <f t="shared" ref="E19:E44" si="8">F19+G19+H19+I19+J19</f>
        <v>270019483.897732</v>
      </c>
      <c r="F19" s="371">
        <f>F20+F21+F22+F23</f>
        <v>120654534.537732</v>
      </c>
      <c r="G19" s="371">
        <f t="shared" ref="G19:J19" si="9">G20+G21+G22+G23</f>
        <v>74682474.68</v>
      </c>
      <c r="H19" s="371">
        <f t="shared" si="9"/>
        <v>74682474.68</v>
      </c>
      <c r="I19" s="371">
        <f t="shared" si="9"/>
        <v>0</v>
      </c>
      <c r="J19" s="371">
        <f t="shared" si="9"/>
        <v>0</v>
      </c>
      <c r="K19" s="413" t="s">
        <v>10</v>
      </c>
    </row>
    <row r="20" ht="21.75" customHeight="1" spans="1:11">
      <c r="A20" s="372"/>
      <c r="B20" s="373"/>
      <c r="C20" s="370"/>
      <c r="D20" s="370"/>
      <c r="E20" s="371">
        <f t="shared" si="8"/>
        <v>84818282.07</v>
      </c>
      <c r="F20" s="371">
        <f>F32</f>
        <v>84818282.07</v>
      </c>
      <c r="G20" s="371">
        <f t="shared" ref="G20:J20" si="10">G32</f>
        <v>0</v>
      </c>
      <c r="H20" s="371">
        <f t="shared" si="10"/>
        <v>0</v>
      </c>
      <c r="I20" s="371">
        <f t="shared" si="10"/>
        <v>0</v>
      </c>
      <c r="J20" s="371">
        <f t="shared" si="10"/>
        <v>0</v>
      </c>
      <c r="K20" s="371" t="s">
        <v>14</v>
      </c>
    </row>
    <row r="21" spans="1:11">
      <c r="A21" s="372"/>
      <c r="B21" s="373"/>
      <c r="C21" s="374"/>
      <c r="D21" s="374"/>
      <c r="E21" s="371">
        <f t="shared" si="8"/>
        <v>174908904.67</v>
      </c>
      <c r="F21" s="371">
        <f>F25</f>
        <v>32086740.83</v>
      </c>
      <c r="G21" s="371">
        <f t="shared" ref="G21:J21" si="11">G25</f>
        <v>71411081.92</v>
      </c>
      <c r="H21" s="371">
        <f t="shared" si="11"/>
        <v>71411081.92</v>
      </c>
      <c r="I21" s="371">
        <f t="shared" si="11"/>
        <v>0</v>
      </c>
      <c r="J21" s="371">
        <f t="shared" si="11"/>
        <v>0</v>
      </c>
      <c r="K21" s="261" t="s">
        <v>15</v>
      </c>
    </row>
    <row r="22" spans="1:11">
      <c r="A22" s="372"/>
      <c r="B22" s="373"/>
      <c r="C22" s="374"/>
      <c r="D22" s="374"/>
      <c r="E22" s="371">
        <f t="shared" si="8"/>
        <v>6266304.07773196</v>
      </c>
      <c r="F22" s="371">
        <f>F26+F33</f>
        <v>1849123.75773196</v>
      </c>
      <c r="G22" s="371">
        <f>G26+G33</f>
        <v>2208590.16</v>
      </c>
      <c r="H22" s="371">
        <f>H26+H33</f>
        <v>2208590.16</v>
      </c>
      <c r="I22" s="371">
        <f>I26+I33</f>
        <v>0</v>
      </c>
      <c r="J22" s="371">
        <f>J26+J33</f>
        <v>0</v>
      </c>
      <c r="K22" s="261" t="s">
        <v>16</v>
      </c>
    </row>
    <row r="23" spans="1:11">
      <c r="A23" s="375"/>
      <c r="B23" s="376"/>
      <c r="C23" s="374"/>
      <c r="D23" s="374"/>
      <c r="E23" s="371">
        <f t="shared" si="8"/>
        <v>4025993.08</v>
      </c>
      <c r="F23" s="371">
        <f>F34</f>
        <v>1900387.88</v>
      </c>
      <c r="G23" s="371">
        <f t="shared" ref="G23:J23" si="12">G34</f>
        <v>1062802.6</v>
      </c>
      <c r="H23" s="371">
        <f t="shared" si="12"/>
        <v>1062802.6</v>
      </c>
      <c r="I23" s="371">
        <f t="shared" si="12"/>
        <v>0</v>
      </c>
      <c r="J23" s="371">
        <f t="shared" si="12"/>
        <v>0</v>
      </c>
      <c r="K23" s="371" t="s">
        <v>17</v>
      </c>
    </row>
    <row r="24" ht="15.75" spans="1:11">
      <c r="A24" s="377" t="s">
        <v>40</v>
      </c>
      <c r="B24" s="374" t="s">
        <v>81</v>
      </c>
      <c r="C24" s="378"/>
      <c r="D24" s="378"/>
      <c r="E24" s="371">
        <f t="shared" si="8"/>
        <v>180318458.417732</v>
      </c>
      <c r="F24" s="379">
        <f>SUM(F25:F26)</f>
        <v>33079114.257732</v>
      </c>
      <c r="G24" s="379">
        <f t="shared" ref="G24:J24" si="13">SUM(G25:G26)</f>
        <v>73619672.08</v>
      </c>
      <c r="H24" s="379">
        <f t="shared" si="13"/>
        <v>73619672.08</v>
      </c>
      <c r="I24" s="379">
        <f t="shared" si="13"/>
        <v>0</v>
      </c>
      <c r="J24" s="379">
        <f t="shared" si="13"/>
        <v>0</v>
      </c>
      <c r="K24" s="414" t="s">
        <v>10</v>
      </c>
    </row>
    <row r="25" ht="15.75" spans="1:11">
      <c r="A25" s="380"/>
      <c r="B25" s="374"/>
      <c r="C25" s="378"/>
      <c r="D25" s="378"/>
      <c r="E25" s="371">
        <f t="shared" si="8"/>
        <v>174908904.67</v>
      </c>
      <c r="F25" s="381">
        <f>F27+F28</f>
        <v>32086740.83</v>
      </c>
      <c r="G25" s="381">
        <f>G27+G28</f>
        <v>71411081.92</v>
      </c>
      <c r="H25" s="381">
        <f>H27+H28</f>
        <v>71411081.92</v>
      </c>
      <c r="I25" s="381">
        <f>I27+I28</f>
        <v>0</v>
      </c>
      <c r="J25" s="381">
        <f>J27+J28</f>
        <v>0</v>
      </c>
      <c r="K25" s="414" t="s">
        <v>15</v>
      </c>
    </row>
    <row r="26" ht="15.75" spans="1:11">
      <c r="A26" s="380"/>
      <c r="B26" s="374"/>
      <c r="C26" s="378"/>
      <c r="D26" s="378"/>
      <c r="E26" s="371">
        <f t="shared" si="8"/>
        <v>5409553.74773196</v>
      </c>
      <c r="F26" s="381">
        <f>F29+F30</f>
        <v>992373.427731959</v>
      </c>
      <c r="G26" s="381">
        <f>G29+G30</f>
        <v>2208590.16</v>
      </c>
      <c r="H26" s="381">
        <f>H29+H30</f>
        <v>2208590.16</v>
      </c>
      <c r="I26" s="381">
        <f>I29+I30</f>
        <v>0</v>
      </c>
      <c r="J26" s="381">
        <f>J29+J30</f>
        <v>0</v>
      </c>
      <c r="K26" s="414" t="s">
        <v>16</v>
      </c>
    </row>
    <row r="27" ht="15.75" spans="1:11">
      <c r="A27" s="377" t="s">
        <v>42</v>
      </c>
      <c r="B27" s="374" t="s">
        <v>43</v>
      </c>
      <c r="C27" s="27"/>
      <c r="D27" s="27"/>
      <c r="E27" s="371">
        <f t="shared" si="8"/>
        <v>169222163.84</v>
      </c>
      <c r="F27" s="28">
        <v>26400000</v>
      </c>
      <c r="G27" s="28">
        <v>71411081.92</v>
      </c>
      <c r="H27" s="28">
        <v>71411081.92</v>
      </c>
      <c r="I27" s="28">
        <v>0</v>
      </c>
      <c r="J27" s="28">
        <v>0</v>
      </c>
      <c r="K27" s="64" t="s">
        <v>23</v>
      </c>
    </row>
    <row r="28" ht="15.75" spans="1:11">
      <c r="A28" s="380"/>
      <c r="B28" s="374"/>
      <c r="C28" s="27"/>
      <c r="D28" s="27"/>
      <c r="E28" s="371">
        <f t="shared" si="8"/>
        <v>5686740.83</v>
      </c>
      <c r="F28" s="28">
        <v>5686740.83</v>
      </c>
      <c r="G28" s="28">
        <v>0</v>
      </c>
      <c r="H28" s="28">
        <v>0</v>
      </c>
      <c r="I28" s="28">
        <v>0</v>
      </c>
      <c r="J28" s="28">
        <v>0</v>
      </c>
      <c r="K28" s="64" t="s">
        <v>24</v>
      </c>
    </row>
    <row r="29" ht="15.75" spans="1:11">
      <c r="A29" s="380"/>
      <c r="B29" s="374"/>
      <c r="C29" s="27"/>
      <c r="D29" s="27"/>
      <c r="E29" s="371">
        <f t="shared" si="8"/>
        <v>5233675.16536083</v>
      </c>
      <c r="F29" s="28">
        <f t="shared" ref="F29:F30" si="14">F27*3/97</f>
        <v>816494.845360825</v>
      </c>
      <c r="G29" s="28">
        <v>2208590.16</v>
      </c>
      <c r="H29" s="28">
        <v>2208590.16</v>
      </c>
      <c r="I29" s="28">
        <v>0</v>
      </c>
      <c r="J29" s="28">
        <v>0</v>
      </c>
      <c r="K29" s="64" t="s">
        <v>44</v>
      </c>
    </row>
    <row r="30" ht="15.75" spans="1:11">
      <c r="A30" s="380"/>
      <c r="B30" s="374"/>
      <c r="C30" s="27"/>
      <c r="D30" s="27"/>
      <c r="E30" s="371">
        <f t="shared" si="8"/>
        <v>175878.582371134</v>
      </c>
      <c r="F30" s="28">
        <f t="shared" si="14"/>
        <v>175878.582371134</v>
      </c>
      <c r="G30" s="28">
        <v>0</v>
      </c>
      <c r="H30" s="28">
        <v>0</v>
      </c>
      <c r="I30" s="28">
        <v>0</v>
      </c>
      <c r="J30" s="28">
        <v>0</v>
      </c>
      <c r="K30" s="64" t="s">
        <v>45</v>
      </c>
    </row>
    <row r="31" ht="15.75" customHeight="1" spans="1:11">
      <c r="A31" s="377" t="s">
        <v>48</v>
      </c>
      <c r="B31" s="382" t="s">
        <v>82</v>
      </c>
      <c r="C31" s="383"/>
      <c r="D31" s="383"/>
      <c r="E31" s="371">
        <f t="shared" si="8"/>
        <v>85675032.4</v>
      </c>
      <c r="F31" s="384">
        <f>SUM(F32:F33)</f>
        <v>85675032.4</v>
      </c>
      <c r="G31" s="384">
        <f t="shared" ref="G31:J31" si="15">SUM(G32:G33)</f>
        <v>0</v>
      </c>
      <c r="H31" s="384">
        <f t="shared" si="15"/>
        <v>0</v>
      </c>
      <c r="I31" s="384">
        <f t="shared" si="15"/>
        <v>0</v>
      </c>
      <c r="J31" s="384">
        <f t="shared" si="15"/>
        <v>0</v>
      </c>
      <c r="K31" s="415" t="s">
        <v>50</v>
      </c>
    </row>
    <row r="32" ht="15.75" spans="1:11">
      <c r="A32" s="380"/>
      <c r="B32" s="385"/>
      <c r="C32" s="383"/>
      <c r="D32" s="383"/>
      <c r="E32" s="371">
        <f t="shared" si="8"/>
        <v>84818282.07</v>
      </c>
      <c r="F32" s="386">
        <v>84818282.07</v>
      </c>
      <c r="G32" s="386">
        <v>0</v>
      </c>
      <c r="H32" s="386">
        <v>0</v>
      </c>
      <c r="I32" s="386">
        <v>0</v>
      </c>
      <c r="J32" s="386">
        <v>0</v>
      </c>
      <c r="K32" s="415" t="s">
        <v>20</v>
      </c>
    </row>
    <row r="33" ht="21" customHeight="1" spans="1:11">
      <c r="A33" s="380"/>
      <c r="B33" s="385"/>
      <c r="C33" s="383"/>
      <c r="D33" s="383"/>
      <c r="E33" s="371">
        <f t="shared" si="8"/>
        <v>856750.33</v>
      </c>
      <c r="F33" s="386">
        <v>856750.33</v>
      </c>
      <c r="G33" s="386">
        <v>0</v>
      </c>
      <c r="H33" s="386">
        <v>0</v>
      </c>
      <c r="I33" s="386">
        <v>0</v>
      </c>
      <c r="J33" s="386">
        <v>0</v>
      </c>
      <c r="K33" s="415" t="s">
        <v>44</v>
      </c>
    </row>
    <row r="34" s="1" customFormat="1" ht="15.75" spans="1:11">
      <c r="A34" s="377" t="s">
        <v>83</v>
      </c>
      <c r="B34" s="382" t="s">
        <v>84</v>
      </c>
      <c r="C34" s="357"/>
      <c r="D34" s="357"/>
      <c r="E34" s="371">
        <f t="shared" si="8"/>
        <v>4025993.08</v>
      </c>
      <c r="F34" s="386">
        <f>F36+F35</f>
        <v>1900387.88</v>
      </c>
      <c r="G34" s="386">
        <f t="shared" ref="G34:J34" si="16">G36+G35</f>
        <v>1062802.6</v>
      </c>
      <c r="H34" s="386">
        <f t="shared" si="16"/>
        <v>1062802.6</v>
      </c>
      <c r="I34" s="386">
        <f t="shared" si="16"/>
        <v>0</v>
      </c>
      <c r="J34" s="386">
        <f t="shared" si="16"/>
        <v>0</v>
      </c>
      <c r="K34" s="416" t="s">
        <v>13</v>
      </c>
    </row>
    <row r="35" s="1" customFormat="1" ht="15.75" spans="1:11">
      <c r="A35" s="380"/>
      <c r="B35" s="385"/>
      <c r="C35" s="357"/>
      <c r="D35" s="357"/>
      <c r="E35" s="371">
        <f t="shared" si="8"/>
        <v>1800387.88</v>
      </c>
      <c r="F35" s="386">
        <f>900387.88+900000</f>
        <v>1800387.88</v>
      </c>
      <c r="G35" s="386">
        <v>0</v>
      </c>
      <c r="H35" s="386">
        <v>0</v>
      </c>
      <c r="I35" s="386">
        <v>0</v>
      </c>
      <c r="J35" s="386">
        <v>0</v>
      </c>
      <c r="K35" s="415" t="s">
        <v>29</v>
      </c>
    </row>
    <row r="36" s="1" customFormat="1" ht="15.75" spans="1:11">
      <c r="A36" s="380"/>
      <c r="B36" s="385"/>
      <c r="C36" s="357"/>
      <c r="D36" s="357"/>
      <c r="E36" s="371">
        <f t="shared" si="8"/>
        <v>2225605.2</v>
      </c>
      <c r="F36" s="386">
        <f>1000000-900000</f>
        <v>100000</v>
      </c>
      <c r="G36" s="386">
        <f>1069506.14-6703.54</f>
        <v>1062802.6</v>
      </c>
      <c r="H36" s="386">
        <f>1271892.85-209090.25</f>
        <v>1062802.6</v>
      </c>
      <c r="I36" s="386">
        <v>0</v>
      </c>
      <c r="J36" s="386">
        <v>0</v>
      </c>
      <c r="K36" s="415" t="s">
        <v>30</v>
      </c>
    </row>
    <row r="37" ht="18.75" spans="1:11">
      <c r="A37" s="315" t="s">
        <v>55</v>
      </c>
      <c r="B37" s="367" t="s">
        <v>56</v>
      </c>
      <c r="C37" s="367"/>
      <c r="D37" s="367"/>
      <c r="E37" s="367"/>
      <c r="F37" s="367"/>
      <c r="G37" s="367"/>
      <c r="H37" s="367"/>
      <c r="I37" s="367"/>
      <c r="J37" s="367"/>
      <c r="K37" s="367"/>
    </row>
    <row r="38" ht="15.75" spans="1:11">
      <c r="A38" s="387" t="s">
        <v>57</v>
      </c>
      <c r="B38" s="388" t="s">
        <v>85</v>
      </c>
      <c r="C38" s="389"/>
      <c r="D38" s="389"/>
      <c r="E38" s="390">
        <f t="shared" si="8"/>
        <v>12121212.12</v>
      </c>
      <c r="F38" s="391">
        <f>F39+F40</f>
        <v>12121212.12</v>
      </c>
      <c r="G38" s="391">
        <f t="shared" ref="G38:J38" si="17">G39+G40</f>
        <v>0</v>
      </c>
      <c r="H38" s="391">
        <f t="shared" si="17"/>
        <v>0</v>
      </c>
      <c r="I38" s="391">
        <f t="shared" si="17"/>
        <v>0</v>
      </c>
      <c r="J38" s="391">
        <f t="shared" si="17"/>
        <v>0</v>
      </c>
      <c r="K38" s="418" t="s">
        <v>10</v>
      </c>
    </row>
    <row r="39" ht="15.75" spans="1:11">
      <c r="A39" s="392"/>
      <c r="B39" s="388"/>
      <c r="C39" s="389"/>
      <c r="D39" s="389"/>
      <c r="E39" s="390">
        <f t="shared" si="8"/>
        <v>12000000</v>
      </c>
      <c r="F39" s="391">
        <f>F41+F42</f>
        <v>12000000</v>
      </c>
      <c r="G39" s="391">
        <f t="shared" ref="G39:J39" si="18">G41+G42</f>
        <v>0</v>
      </c>
      <c r="H39" s="391">
        <f t="shared" si="18"/>
        <v>0</v>
      </c>
      <c r="I39" s="391">
        <f t="shared" si="18"/>
        <v>0</v>
      </c>
      <c r="J39" s="391">
        <f t="shared" si="18"/>
        <v>0</v>
      </c>
      <c r="K39" s="418" t="s">
        <v>15</v>
      </c>
    </row>
    <row r="40" ht="15.75" spans="1:11">
      <c r="A40" s="392"/>
      <c r="B40" s="388"/>
      <c r="C40" s="389"/>
      <c r="D40" s="389"/>
      <c r="E40" s="390">
        <f t="shared" si="8"/>
        <v>121212.12</v>
      </c>
      <c r="F40" s="391">
        <f>F43+F44</f>
        <v>121212.12</v>
      </c>
      <c r="G40" s="391">
        <f t="shared" ref="G40:J40" si="19">G43+G44</f>
        <v>0</v>
      </c>
      <c r="H40" s="391">
        <f t="shared" si="19"/>
        <v>0</v>
      </c>
      <c r="I40" s="391">
        <f t="shared" si="19"/>
        <v>0</v>
      </c>
      <c r="J40" s="391">
        <f t="shared" si="19"/>
        <v>0</v>
      </c>
      <c r="K40" s="418" t="s">
        <v>16</v>
      </c>
    </row>
    <row r="41" ht="15.75" spans="1:11">
      <c r="A41" s="393" t="s">
        <v>59</v>
      </c>
      <c r="B41" s="394" t="s">
        <v>86</v>
      </c>
      <c r="C41" s="27"/>
      <c r="D41" s="27"/>
      <c r="E41" s="390">
        <f t="shared" si="8"/>
        <v>12000000</v>
      </c>
      <c r="F41" s="28">
        <v>12000000</v>
      </c>
      <c r="G41" s="28">
        <v>0</v>
      </c>
      <c r="H41" s="28">
        <v>0</v>
      </c>
      <c r="I41" s="28">
        <v>0</v>
      </c>
      <c r="J41" s="28">
        <v>0</v>
      </c>
      <c r="K41" s="411" t="s">
        <v>65</v>
      </c>
    </row>
    <row r="42" ht="15.75" spans="1:11">
      <c r="A42" s="393"/>
      <c r="B42" s="394"/>
      <c r="C42" s="27"/>
      <c r="D42" s="27"/>
      <c r="E42" s="390">
        <f t="shared" si="8"/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412" t="s">
        <v>67</v>
      </c>
    </row>
    <row r="43" ht="15.75" spans="1:11">
      <c r="A43" s="393"/>
      <c r="B43" s="394"/>
      <c r="C43" s="27"/>
      <c r="D43" s="27"/>
      <c r="E43" s="390">
        <f t="shared" si="8"/>
        <v>121212.12</v>
      </c>
      <c r="F43" s="28">
        <v>121212.12</v>
      </c>
      <c r="G43" s="28">
        <v>0</v>
      </c>
      <c r="H43" s="28">
        <v>0</v>
      </c>
      <c r="I43" s="28">
        <v>0</v>
      </c>
      <c r="J43" s="28">
        <v>0</v>
      </c>
      <c r="K43" s="411" t="s">
        <v>44</v>
      </c>
    </row>
    <row r="44" ht="15.75" spans="1:11">
      <c r="A44" s="393"/>
      <c r="B44" s="395"/>
      <c r="C44" s="27"/>
      <c r="D44" s="27"/>
      <c r="E44" s="390">
        <f t="shared" si="8"/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412" t="s">
        <v>45</v>
      </c>
    </row>
    <row r="45" ht="18.75" customHeight="1" spans="1:11">
      <c r="A45" s="396" t="s">
        <v>70</v>
      </c>
      <c r="B45" s="396"/>
      <c r="C45" s="396"/>
      <c r="D45" s="517"/>
      <c r="E45" s="279">
        <f t="shared" ref="E45:E49" si="20">SUM(F45:J45)</f>
        <v>487780114.297732</v>
      </c>
      <c r="F45" s="279">
        <f>F46+F47+F48+F49</f>
        <v>297937823.237732</v>
      </c>
      <c r="G45" s="279">
        <f t="shared" ref="G45:J45" si="21">G46+G47+G48+G49</f>
        <v>115159816.38</v>
      </c>
      <c r="H45" s="279">
        <f t="shared" si="21"/>
        <v>74682474.68</v>
      </c>
      <c r="I45" s="279">
        <f t="shared" si="21"/>
        <v>0</v>
      </c>
      <c r="J45" s="279">
        <f t="shared" si="21"/>
        <v>0</v>
      </c>
      <c r="K45" s="340"/>
    </row>
    <row r="46" ht="18.75" spans="1:11">
      <c r="A46" s="399"/>
      <c r="B46" s="399"/>
      <c r="C46" s="399"/>
      <c r="D46" s="518"/>
      <c r="E46" s="279">
        <f t="shared" si="20"/>
        <v>265766855.39</v>
      </c>
      <c r="F46" s="280">
        <f>F4+F20</f>
        <v>226297399.5</v>
      </c>
      <c r="G46" s="280">
        <f>G4+G20</f>
        <v>39469455.89</v>
      </c>
      <c r="H46" s="280">
        <f>H4+H20</f>
        <v>0</v>
      </c>
      <c r="I46" s="280">
        <f>I4+I20</f>
        <v>0</v>
      </c>
      <c r="J46" s="280">
        <f>J4+J20</f>
        <v>0</v>
      </c>
      <c r="K46" s="420" t="s">
        <v>14</v>
      </c>
    </row>
    <row r="47" ht="18.75" spans="1:11">
      <c r="A47" s="399"/>
      <c r="B47" s="399"/>
      <c r="C47" s="399"/>
      <c r="D47" s="518"/>
      <c r="E47" s="279">
        <f t="shared" si="20"/>
        <v>188438467.39</v>
      </c>
      <c r="F47" s="280">
        <f t="shared" ref="F47:J48" si="22">F5+F21+F39</f>
        <v>44810804.45</v>
      </c>
      <c r="G47" s="280">
        <f t="shared" si="22"/>
        <v>72216581.02</v>
      </c>
      <c r="H47" s="280">
        <f t="shared" si="22"/>
        <v>71411081.92</v>
      </c>
      <c r="I47" s="280">
        <f t="shared" si="22"/>
        <v>0</v>
      </c>
      <c r="J47" s="280">
        <f t="shared" si="22"/>
        <v>0</v>
      </c>
      <c r="K47" s="420" t="s">
        <v>71</v>
      </c>
    </row>
    <row r="48" ht="18.75" customHeight="1" spans="1:11">
      <c r="A48" s="399"/>
      <c r="B48" s="399"/>
      <c r="C48" s="399"/>
      <c r="D48" s="518"/>
      <c r="E48" s="279">
        <f t="shared" si="20"/>
        <v>6771828.43773196</v>
      </c>
      <c r="F48" s="280">
        <f t="shared" si="22"/>
        <v>2152261.40773196</v>
      </c>
      <c r="G48" s="280">
        <f t="shared" si="22"/>
        <v>2410976.87</v>
      </c>
      <c r="H48" s="280">
        <f t="shared" si="22"/>
        <v>2208590.16</v>
      </c>
      <c r="I48" s="280">
        <f t="shared" si="22"/>
        <v>0</v>
      </c>
      <c r="J48" s="280">
        <f t="shared" si="22"/>
        <v>0</v>
      </c>
      <c r="K48" s="287" t="s">
        <v>16</v>
      </c>
    </row>
    <row r="49" ht="18.75" customHeight="1" spans="1:11">
      <c r="A49" s="402"/>
      <c r="B49" s="402"/>
      <c r="C49" s="402"/>
      <c r="D49" s="519"/>
      <c r="E49" s="279">
        <f t="shared" si="20"/>
        <v>26802963.08</v>
      </c>
      <c r="F49" s="282">
        <f>F23+F7</f>
        <v>24677357.88</v>
      </c>
      <c r="G49" s="282">
        <f t="shared" ref="G49:J49" si="23">G23</f>
        <v>1062802.6</v>
      </c>
      <c r="H49" s="282">
        <f t="shared" si="23"/>
        <v>1062802.6</v>
      </c>
      <c r="I49" s="282">
        <f t="shared" si="23"/>
        <v>0</v>
      </c>
      <c r="J49" s="282">
        <f t="shared" si="23"/>
        <v>0</v>
      </c>
      <c r="K49" s="287" t="s">
        <v>73</v>
      </c>
    </row>
    <row r="50" ht="18.75" spans="1:11">
      <c r="A50" s="284" t="s">
        <v>94</v>
      </c>
      <c r="B50" s="284"/>
      <c r="C50" s="284"/>
      <c r="D50" s="284"/>
      <c r="E50" s="323"/>
      <c r="F50" s="323"/>
      <c r="G50" s="323"/>
      <c r="H50" s="323"/>
      <c r="I50" s="323"/>
      <c r="J50" s="323"/>
      <c r="K50" s="340"/>
    </row>
    <row r="51" ht="15.75" spans="2:11">
      <c r="B51" s="467"/>
      <c r="C51" s="467"/>
      <c r="D51" s="467"/>
      <c r="J51" s="479"/>
      <c r="K51" s="479"/>
    </row>
    <row r="52" ht="15.75" spans="9:11">
      <c r="I52" s="3" t="s">
        <v>87</v>
      </c>
      <c r="J52" s="480"/>
      <c r="K52" s="480">
        <v>178063747.64</v>
      </c>
    </row>
    <row r="53" s="1" customFormat="1" ht="15.75" spans="1:11">
      <c r="A53" s="3"/>
      <c r="B53" s="3"/>
      <c r="C53" s="3"/>
      <c r="D53" s="3"/>
      <c r="E53" s="3"/>
      <c r="F53" s="3"/>
      <c r="G53" s="3"/>
      <c r="H53" s="3"/>
      <c r="I53" s="3" t="s">
        <v>88</v>
      </c>
      <c r="J53" s="480"/>
      <c r="K53" s="480">
        <v>506829756.46</v>
      </c>
    </row>
    <row r="54" s="1" customFormat="1" ht="15.75" spans="1:11">
      <c r="A54" s="3"/>
      <c r="B54" s="3"/>
      <c r="C54" s="3"/>
      <c r="D54" s="3"/>
      <c r="E54" s="3"/>
      <c r="F54" s="3"/>
      <c r="G54" s="3"/>
      <c r="H54" s="3"/>
      <c r="I54" s="3"/>
      <c r="J54" s="480"/>
      <c r="K54" s="481">
        <f>E45+K52+K53</f>
        <v>1172673618.39773</v>
      </c>
    </row>
    <row r="55" s="1" customFormat="1" ht="15.75" spans="1:11">
      <c r="A55" s="3"/>
      <c r="B55" s="3"/>
      <c r="C55" s="3"/>
      <c r="D55" s="3"/>
      <c r="E55" s="3"/>
      <c r="F55" s="3"/>
      <c r="G55" s="3"/>
      <c r="H55" s="3"/>
      <c r="I55" s="3"/>
      <c r="J55" s="480"/>
      <c r="K55" s="480"/>
    </row>
    <row r="56" s="1" customFormat="1" ht="15.75" spans="1:11">
      <c r="A56" s="3"/>
      <c r="B56" s="3"/>
      <c r="C56" s="3"/>
      <c r="D56" s="3"/>
      <c r="E56" s="3"/>
      <c r="F56" s="3"/>
      <c r="G56" s="3"/>
      <c r="H56" s="3"/>
      <c r="I56" s="3"/>
      <c r="J56" s="480"/>
      <c r="K56" s="480"/>
    </row>
    <row r="57" s="1" customFormat="1" ht="15.75" spans="1:11">
      <c r="A57" s="3"/>
      <c r="B57" s="3"/>
      <c r="C57" s="3"/>
      <c r="D57" s="3"/>
      <c r="E57" s="3"/>
      <c r="F57" s="3"/>
      <c r="G57" s="3"/>
      <c r="H57" s="3"/>
      <c r="I57" s="3"/>
      <c r="J57" s="480"/>
      <c r="K57" s="480"/>
    </row>
  </sheetData>
  <sheetProtection algorithmName="SHA-512" hashValue="LbcpLBe3457FutxUYd+Nm/+dQVGf5uInCzxNqvt2BlZO2aCKNr1tmt0j6BWqRDPJW87a5Ev+NNM2rx+OnptY5Q==" saltValue="CWSC7Qom1pspE7aR0EXaLA==" spinCount="100000" sheet="1" objects="1" scenarios="1"/>
  <mergeCells count="23">
    <mergeCell ref="B18:K18"/>
    <mergeCell ref="B37:K37"/>
    <mergeCell ref="A50:D50"/>
    <mergeCell ref="A3:A6"/>
    <mergeCell ref="A8:A14"/>
    <mergeCell ref="A15:A17"/>
    <mergeCell ref="A19:A23"/>
    <mergeCell ref="A24:A26"/>
    <mergeCell ref="A27:A30"/>
    <mergeCell ref="A31:A33"/>
    <mergeCell ref="A34:A36"/>
    <mergeCell ref="A38:A40"/>
    <mergeCell ref="A41:A44"/>
    <mergeCell ref="B3:B6"/>
    <mergeCell ref="B8:B14"/>
    <mergeCell ref="B15:B17"/>
    <mergeCell ref="B19:B23"/>
    <mergeCell ref="B24:B26"/>
    <mergeCell ref="B27:B30"/>
    <mergeCell ref="B31:B33"/>
    <mergeCell ref="B34:B36"/>
    <mergeCell ref="B38:B40"/>
    <mergeCell ref="B41:B44"/>
  </mergeCells>
  <pageMargins left="0.118110236220472" right="0.118110236220472" top="0.15748031496063" bottom="0.15748031496063" header="0.31496062992126" footer="0.31496062992126"/>
  <pageSetup paperSize="9" scale="60" orientation="portrait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8571428571429" style="3" customWidth="1"/>
    <col min="7" max="7" width="18.1428571428571" style="3" customWidth="1"/>
    <col min="8" max="8" width="17.2857142857143" style="3" customWidth="1"/>
    <col min="9" max="9" width="11" style="3" customWidth="1"/>
    <col min="10" max="10" width="10.2857142857143" style="3" customWidth="1"/>
    <col min="11" max="11" width="25.8571428571429" style="4" customWidth="1"/>
    <col min="12" max="12" width="18.5714285714286" style="8" customWidth="1"/>
    <col min="13" max="13" width="11.7142857142857" style="8" customWidth="1"/>
    <col min="14" max="14" width="10.5714285714286" style="8" customWidth="1"/>
    <col min="15" max="16384" width="39" style="8"/>
  </cols>
  <sheetData>
    <row r="1" ht="21" spans="1:11">
      <c r="A1" s="483" t="s">
        <v>0</v>
      </c>
      <c r="B1" s="484" t="s">
        <v>1</v>
      </c>
      <c r="C1" s="484" t="s">
        <v>2</v>
      </c>
      <c r="D1" s="484" t="s">
        <v>3</v>
      </c>
      <c r="E1" s="484" t="s">
        <v>4</v>
      </c>
      <c r="F1" s="485">
        <v>2023</v>
      </c>
      <c r="G1" s="485">
        <v>2024</v>
      </c>
      <c r="H1" s="486">
        <v>2025</v>
      </c>
      <c r="I1" s="485">
        <v>2026</v>
      </c>
      <c r="J1" s="485">
        <v>2027</v>
      </c>
      <c r="K1" s="520" t="s">
        <v>97</v>
      </c>
    </row>
    <row r="2" s="1" customFormat="1" ht="19.5" spans="1:11">
      <c r="A2" s="427" t="s">
        <v>6</v>
      </c>
      <c r="B2" s="487" t="s">
        <v>7</v>
      </c>
      <c r="C2" s="429"/>
      <c r="D2" s="429"/>
      <c r="E2" s="429"/>
      <c r="F2" s="430"/>
      <c r="G2" s="430"/>
      <c r="H2" s="429"/>
      <c r="I2" s="430"/>
      <c r="J2" s="430"/>
      <c r="K2" s="469"/>
    </row>
    <row r="3" s="1" customFormat="1" ht="15.75" customHeight="1" spans="1:11">
      <c r="A3" s="350" t="s">
        <v>8</v>
      </c>
      <c r="B3" s="509" t="s">
        <v>77</v>
      </c>
      <c r="C3" s="352"/>
      <c r="D3" s="352"/>
      <c r="E3" s="353">
        <f>F3+G3+H3+I3+J3</f>
        <v>205639418.28</v>
      </c>
      <c r="F3" s="354">
        <f>SUM(F4:F7)</f>
        <v>165162076.58</v>
      </c>
      <c r="G3" s="354">
        <f>SUM(G4:G7)</f>
        <v>40477341.7</v>
      </c>
      <c r="H3" s="354">
        <f>SUM(H4:H7)</f>
        <v>0</v>
      </c>
      <c r="I3" s="354">
        <f>SUM(I4:I7)</f>
        <v>0</v>
      </c>
      <c r="J3" s="354">
        <f>SUM(J4:J7)</f>
        <v>0</v>
      </c>
      <c r="K3" s="408" t="s">
        <v>13</v>
      </c>
    </row>
    <row r="4" s="1" customFormat="1" ht="15.75" spans="1:11">
      <c r="A4" s="355"/>
      <c r="B4" s="510"/>
      <c r="C4" s="352"/>
      <c r="D4" s="352"/>
      <c r="E4" s="353">
        <f t="shared" ref="E4:E11" si="0">SUM(F4:J4)</f>
        <v>180948573.32</v>
      </c>
      <c r="F4" s="354">
        <f>F9+F10+F16</f>
        <v>141479117.43</v>
      </c>
      <c r="G4" s="354">
        <f t="shared" ref="G4:J4" si="1">G9+G10</f>
        <v>39469455.89</v>
      </c>
      <c r="H4" s="354">
        <f t="shared" si="1"/>
        <v>0</v>
      </c>
      <c r="I4" s="354">
        <f t="shared" si="1"/>
        <v>0</v>
      </c>
      <c r="J4" s="354">
        <f t="shared" si="1"/>
        <v>0</v>
      </c>
      <c r="K4" s="409" t="s">
        <v>78</v>
      </c>
    </row>
    <row r="5" s="1" customFormat="1" ht="15.75" spans="1:11">
      <c r="A5" s="355"/>
      <c r="B5" s="510"/>
      <c r="C5" s="352"/>
      <c r="D5" s="352"/>
      <c r="E5" s="353">
        <f t="shared" si="0"/>
        <v>1529562.72</v>
      </c>
      <c r="F5" s="354">
        <f>F11+F12</f>
        <v>724063.62</v>
      </c>
      <c r="G5" s="354">
        <f t="shared" ref="G5:J5" si="2">G11+G12</f>
        <v>805499.1</v>
      </c>
      <c r="H5" s="354">
        <f t="shared" si="2"/>
        <v>0</v>
      </c>
      <c r="I5" s="354">
        <f t="shared" si="2"/>
        <v>0</v>
      </c>
      <c r="J5" s="354">
        <f t="shared" si="2"/>
        <v>0</v>
      </c>
      <c r="K5" s="409" t="s">
        <v>71</v>
      </c>
    </row>
    <row r="6" s="1" customFormat="1" ht="15.75" spans="1:11">
      <c r="A6" s="355"/>
      <c r="B6" s="510"/>
      <c r="C6" s="352"/>
      <c r="D6" s="352"/>
      <c r="E6" s="353">
        <f t="shared" si="0"/>
        <v>384312.24</v>
      </c>
      <c r="F6" s="354">
        <f>F13+F14</f>
        <v>181925.53</v>
      </c>
      <c r="G6" s="354">
        <f t="shared" ref="G6:J6" si="3">G13+G14</f>
        <v>202386.71</v>
      </c>
      <c r="H6" s="354">
        <f t="shared" si="3"/>
        <v>0</v>
      </c>
      <c r="I6" s="354">
        <f t="shared" si="3"/>
        <v>0</v>
      </c>
      <c r="J6" s="354">
        <f t="shared" si="3"/>
        <v>0</v>
      </c>
      <c r="K6" s="409" t="s">
        <v>16</v>
      </c>
    </row>
    <row r="7" s="1" customFormat="1" ht="16.5" spans="1:11">
      <c r="A7" s="355"/>
      <c r="B7" s="510"/>
      <c r="C7" s="352"/>
      <c r="D7" s="352"/>
      <c r="E7" s="353">
        <f t="shared" si="0"/>
        <v>22776970</v>
      </c>
      <c r="F7" s="354">
        <f>F17</f>
        <v>22776970</v>
      </c>
      <c r="G7" s="354">
        <f t="shared" ref="G7:J7" si="4">G17</f>
        <v>0</v>
      </c>
      <c r="H7" s="354">
        <f t="shared" si="4"/>
        <v>0</v>
      </c>
      <c r="I7" s="354">
        <f t="shared" si="4"/>
        <v>0</v>
      </c>
      <c r="J7" s="354">
        <f t="shared" si="4"/>
        <v>0</v>
      </c>
      <c r="K7" s="409" t="s">
        <v>73</v>
      </c>
    </row>
    <row r="8" s="1" customFormat="1" ht="15.75" spans="1:11">
      <c r="A8" s="350" t="s">
        <v>11</v>
      </c>
      <c r="B8" s="511" t="s">
        <v>79</v>
      </c>
      <c r="C8" s="352"/>
      <c r="D8" s="352"/>
      <c r="E8" s="353">
        <f t="shared" si="0"/>
        <v>76862448.28</v>
      </c>
      <c r="F8" s="354">
        <f>F9+F10+F11+F12+F13+F14</f>
        <v>36385106.58</v>
      </c>
      <c r="G8" s="354">
        <f t="shared" ref="G8:J8" si="5">G9+G10+G11+G12+G13+G14</f>
        <v>40477341.7</v>
      </c>
      <c r="H8" s="354">
        <f t="shared" si="5"/>
        <v>0</v>
      </c>
      <c r="I8" s="354">
        <f t="shared" si="5"/>
        <v>0</v>
      </c>
      <c r="J8" s="354">
        <f t="shared" si="5"/>
        <v>0</v>
      </c>
      <c r="K8" s="408" t="s">
        <v>13</v>
      </c>
    </row>
    <row r="9" s="1" customFormat="1" ht="15.75" spans="1:11">
      <c r="A9" s="355"/>
      <c r="B9" s="512"/>
      <c r="C9" s="357"/>
      <c r="D9" s="357"/>
      <c r="E9" s="353">
        <f t="shared" si="0"/>
        <v>35479117.43</v>
      </c>
      <c r="F9" s="358">
        <v>35479117.43</v>
      </c>
      <c r="G9" s="360">
        <v>0</v>
      </c>
      <c r="H9" s="360">
        <v>0</v>
      </c>
      <c r="I9" s="410">
        <v>0</v>
      </c>
      <c r="J9" s="410">
        <v>0</v>
      </c>
      <c r="K9" s="411" t="s">
        <v>20</v>
      </c>
    </row>
    <row r="10" s="1" customFormat="1" ht="15.75" spans="1:11">
      <c r="A10" s="355"/>
      <c r="B10" s="512"/>
      <c r="C10" s="357"/>
      <c r="D10" s="357"/>
      <c r="E10" s="353">
        <f t="shared" si="0"/>
        <v>39469455.89</v>
      </c>
      <c r="F10" s="361">
        <v>0</v>
      </c>
      <c r="G10" s="361">
        <v>39469455.89</v>
      </c>
      <c r="H10" s="361">
        <v>0</v>
      </c>
      <c r="I10" s="361">
        <v>0</v>
      </c>
      <c r="J10" s="361">
        <v>0</v>
      </c>
      <c r="K10" s="412" t="s">
        <v>21</v>
      </c>
    </row>
    <row r="11" s="1" customFormat="1" ht="15.75" spans="1:11">
      <c r="A11" s="355"/>
      <c r="B11" s="512"/>
      <c r="C11" s="357"/>
      <c r="D11" s="357"/>
      <c r="E11" s="353">
        <f t="shared" si="0"/>
        <v>724063.62</v>
      </c>
      <c r="F11" s="359">
        <v>724063.62</v>
      </c>
      <c r="G11" s="359">
        <v>0</v>
      </c>
      <c r="H11" s="359">
        <v>0</v>
      </c>
      <c r="I11" s="359">
        <v>0</v>
      </c>
      <c r="J11" s="359">
        <v>0</v>
      </c>
      <c r="K11" s="411" t="s">
        <v>23</v>
      </c>
    </row>
    <row r="12" s="1" customFormat="1" ht="15.75" spans="1:11">
      <c r="A12" s="355"/>
      <c r="B12" s="512"/>
      <c r="C12" s="357"/>
      <c r="D12" s="357"/>
      <c r="E12" s="353">
        <f t="shared" ref="E12:E17" si="6">SUM(F12:J12)</f>
        <v>805499.1</v>
      </c>
      <c r="F12" s="361">
        <v>0</v>
      </c>
      <c r="G12" s="361">
        <v>805499.1</v>
      </c>
      <c r="H12" s="361">
        <v>0</v>
      </c>
      <c r="I12" s="361">
        <v>0</v>
      </c>
      <c r="J12" s="361">
        <v>0</v>
      </c>
      <c r="K12" s="412" t="s">
        <v>24</v>
      </c>
    </row>
    <row r="13" s="1" customFormat="1" ht="15.75" spans="1:11">
      <c r="A13" s="355"/>
      <c r="B13" s="512"/>
      <c r="C13" s="357"/>
      <c r="D13" s="357"/>
      <c r="E13" s="353">
        <f t="shared" si="6"/>
        <v>181925.53</v>
      </c>
      <c r="F13" s="359">
        <v>181925.53</v>
      </c>
      <c r="G13" s="359">
        <v>0</v>
      </c>
      <c r="H13" s="359">
        <v>0</v>
      </c>
      <c r="I13" s="359">
        <v>0</v>
      </c>
      <c r="J13" s="359">
        <v>0</v>
      </c>
      <c r="K13" s="411" t="s">
        <v>26</v>
      </c>
    </row>
    <row r="14" s="1" customFormat="1" ht="16.5" spans="1:11">
      <c r="A14" s="362"/>
      <c r="B14" s="513"/>
      <c r="C14" s="357"/>
      <c r="D14" s="357"/>
      <c r="E14" s="353">
        <f t="shared" si="6"/>
        <v>202386.71</v>
      </c>
      <c r="F14" s="361">
        <v>0</v>
      </c>
      <c r="G14" s="361">
        <v>202386.71</v>
      </c>
      <c r="H14" s="361">
        <v>0</v>
      </c>
      <c r="I14" s="361">
        <v>0</v>
      </c>
      <c r="J14" s="361">
        <v>0</v>
      </c>
      <c r="K14" s="412" t="s">
        <v>27</v>
      </c>
    </row>
    <row r="15" s="1" customFormat="1" ht="15.75" spans="1:11">
      <c r="A15" s="350" t="s">
        <v>91</v>
      </c>
      <c r="B15" s="514" t="s">
        <v>92</v>
      </c>
      <c r="C15" s="357"/>
      <c r="D15" s="357"/>
      <c r="E15" s="353">
        <f t="shared" si="6"/>
        <v>128776970</v>
      </c>
      <c r="F15" s="361">
        <f>F17+F16</f>
        <v>128776970</v>
      </c>
      <c r="G15" s="361">
        <f>++G17</f>
        <v>0</v>
      </c>
      <c r="H15" s="361">
        <f>+H16</f>
        <v>0</v>
      </c>
      <c r="I15" s="361">
        <f t="shared" ref="I15:J15" si="7">+I16</f>
        <v>0</v>
      </c>
      <c r="J15" s="361">
        <f t="shared" si="7"/>
        <v>0</v>
      </c>
      <c r="K15" s="412" t="s">
        <v>13</v>
      </c>
    </row>
    <row r="16" s="1" customFormat="1" ht="15.75" spans="1:11">
      <c r="A16" s="355"/>
      <c r="B16" s="515"/>
      <c r="C16" s="357"/>
      <c r="D16" s="357"/>
      <c r="E16" s="353">
        <f t="shared" si="6"/>
        <v>106000000</v>
      </c>
      <c r="F16" s="358">
        <v>106000000</v>
      </c>
      <c r="G16" s="358">
        <v>0</v>
      </c>
      <c r="H16" s="358">
        <v>0</v>
      </c>
      <c r="I16" s="358">
        <v>0</v>
      </c>
      <c r="J16" s="358">
        <v>0</v>
      </c>
      <c r="K16" s="411" t="s">
        <v>95</v>
      </c>
    </row>
    <row r="17" s="1" customFormat="1" ht="25.5" customHeight="1" spans="1:11">
      <c r="A17" s="355"/>
      <c r="B17" s="516"/>
      <c r="C17" s="357"/>
      <c r="D17" s="357"/>
      <c r="E17" s="353">
        <f t="shared" si="6"/>
        <v>22776970</v>
      </c>
      <c r="F17" s="358">
        <v>22776970</v>
      </c>
      <c r="G17" s="358">
        <v>0</v>
      </c>
      <c r="H17" s="358">
        <v>0</v>
      </c>
      <c r="I17" s="358">
        <v>0</v>
      </c>
      <c r="J17" s="358">
        <v>0</v>
      </c>
      <c r="K17" s="411" t="s">
        <v>96</v>
      </c>
    </row>
    <row r="18" ht="18.75" spans="1:11">
      <c r="A18" s="315" t="s">
        <v>36</v>
      </c>
      <c r="B18" s="367" t="s">
        <v>37</v>
      </c>
      <c r="C18" s="367"/>
      <c r="D18" s="367"/>
      <c r="E18" s="367"/>
      <c r="F18" s="367"/>
      <c r="G18" s="367"/>
      <c r="H18" s="367"/>
      <c r="I18" s="367"/>
      <c r="J18" s="367"/>
      <c r="K18" s="367"/>
    </row>
    <row r="19" ht="17.25" customHeight="1" spans="1:11">
      <c r="A19" s="368" t="s">
        <v>38</v>
      </c>
      <c r="B19" s="369" t="s">
        <v>80</v>
      </c>
      <c r="C19" s="370"/>
      <c r="D19" s="370"/>
      <c r="E19" s="371">
        <f t="shared" ref="E19:E44" si="8">F19+G19+H19+I19+J19</f>
        <v>270019483.9</v>
      </c>
      <c r="F19" s="371">
        <f>F20+F21+F22+F23</f>
        <v>120654534.54</v>
      </c>
      <c r="G19" s="371">
        <f t="shared" ref="G19:J19" si="9">G20+G21+G22+G23</f>
        <v>74682474.68</v>
      </c>
      <c r="H19" s="371">
        <f t="shared" si="9"/>
        <v>74682474.68</v>
      </c>
      <c r="I19" s="371">
        <f t="shared" si="9"/>
        <v>0</v>
      </c>
      <c r="J19" s="371">
        <f t="shared" si="9"/>
        <v>0</v>
      </c>
      <c r="K19" s="413" t="s">
        <v>10</v>
      </c>
    </row>
    <row r="20" ht="21.75" customHeight="1" spans="1:11">
      <c r="A20" s="372"/>
      <c r="B20" s="373"/>
      <c r="C20" s="370"/>
      <c r="D20" s="370"/>
      <c r="E20" s="371">
        <f t="shared" si="8"/>
        <v>84818282.07</v>
      </c>
      <c r="F20" s="371">
        <f>F32</f>
        <v>84818282.07</v>
      </c>
      <c r="G20" s="371">
        <f t="shared" ref="G20:J20" si="10">G32</f>
        <v>0</v>
      </c>
      <c r="H20" s="371">
        <f t="shared" si="10"/>
        <v>0</v>
      </c>
      <c r="I20" s="371">
        <f t="shared" si="10"/>
        <v>0</v>
      </c>
      <c r="J20" s="371">
        <f t="shared" si="10"/>
        <v>0</v>
      </c>
      <c r="K20" s="371" t="s">
        <v>14</v>
      </c>
    </row>
    <row r="21" spans="1:14">
      <c r="A21" s="372"/>
      <c r="B21" s="373"/>
      <c r="C21" s="374"/>
      <c r="D21" s="374"/>
      <c r="E21" s="371">
        <f t="shared" si="8"/>
        <v>174908904.67</v>
      </c>
      <c r="F21" s="371">
        <f>F25</f>
        <v>32086740.83</v>
      </c>
      <c r="G21" s="371">
        <f t="shared" ref="G21:J21" si="11">G25</f>
        <v>71411081.92</v>
      </c>
      <c r="H21" s="371">
        <f t="shared" si="11"/>
        <v>71411081.92</v>
      </c>
      <c r="I21" s="371">
        <f t="shared" si="11"/>
        <v>0</v>
      </c>
      <c r="J21" s="371">
        <f t="shared" si="11"/>
        <v>0</v>
      </c>
      <c r="K21" s="261" t="s">
        <v>15</v>
      </c>
      <c r="M21" s="8" t="s">
        <v>98</v>
      </c>
      <c r="N21" s="8" t="s">
        <v>99</v>
      </c>
    </row>
    <row r="22" spans="1:14">
      <c r="A22" s="372"/>
      <c r="B22" s="373"/>
      <c r="C22" s="374"/>
      <c r="D22" s="374"/>
      <c r="E22" s="371">
        <f t="shared" si="8"/>
        <v>6266304.08</v>
      </c>
      <c r="F22" s="371">
        <f>F26+F33</f>
        <v>1849123.76</v>
      </c>
      <c r="G22" s="371">
        <f>G26+G33</f>
        <v>2208590.16</v>
      </c>
      <c r="H22" s="371">
        <f>H26+H33</f>
        <v>2208590.16</v>
      </c>
      <c r="I22" s="371">
        <f>I26+I33</f>
        <v>0</v>
      </c>
      <c r="J22" s="371">
        <f>J26+J33</f>
        <v>0</v>
      </c>
      <c r="K22" s="261" t="s">
        <v>16</v>
      </c>
      <c r="L22" s="94">
        <v>1896846.66</v>
      </c>
      <c r="M22" s="94">
        <f t="shared" ref="M22:M24" si="12">L22*97/100</f>
        <v>1839941.2602</v>
      </c>
      <c r="N22" s="94">
        <f t="shared" ref="N22:N24" si="13">L22*3/100</f>
        <v>56905.3998</v>
      </c>
    </row>
    <row r="23" spans="1:14">
      <c r="A23" s="375"/>
      <c r="B23" s="376"/>
      <c r="C23" s="374"/>
      <c r="D23" s="374"/>
      <c r="E23" s="371">
        <f t="shared" si="8"/>
        <v>4025993.08</v>
      </c>
      <c r="F23" s="371">
        <f>F34</f>
        <v>1900387.88</v>
      </c>
      <c r="G23" s="371">
        <f t="shared" ref="G23:J23" si="14">G34</f>
        <v>1062802.6</v>
      </c>
      <c r="H23" s="371">
        <f t="shared" si="14"/>
        <v>1062802.6</v>
      </c>
      <c r="I23" s="371">
        <f t="shared" si="14"/>
        <v>0</v>
      </c>
      <c r="J23" s="371">
        <f t="shared" si="14"/>
        <v>0</v>
      </c>
      <c r="K23" s="371" t="s">
        <v>17</v>
      </c>
      <c r="L23" s="94">
        <v>1414700.22</v>
      </c>
      <c r="M23" s="94">
        <f t="shared" si="12"/>
        <v>1372259.2134</v>
      </c>
      <c r="N23" s="94">
        <f t="shared" si="13"/>
        <v>42441.0066</v>
      </c>
    </row>
    <row r="24" ht="15.75" spans="1:14">
      <c r="A24" s="377" t="s">
        <v>40</v>
      </c>
      <c r="B24" s="374" t="s">
        <v>81</v>
      </c>
      <c r="C24" s="378"/>
      <c r="D24" s="378"/>
      <c r="E24" s="371">
        <f t="shared" si="8"/>
        <v>180318458.42</v>
      </c>
      <c r="F24" s="379">
        <f>SUM(F25:F26)</f>
        <v>33079114.26</v>
      </c>
      <c r="G24" s="379">
        <f t="shared" ref="G24:J24" si="15">SUM(G25:G26)</f>
        <v>73619672.08</v>
      </c>
      <c r="H24" s="379">
        <f t="shared" si="15"/>
        <v>73619672.08</v>
      </c>
      <c r="I24" s="379">
        <f t="shared" si="15"/>
        <v>0</v>
      </c>
      <c r="J24" s="379">
        <f t="shared" si="15"/>
        <v>0</v>
      </c>
      <c r="K24" s="414" t="s">
        <v>10</v>
      </c>
      <c r="L24" s="94">
        <f>SUM(L22:L23)</f>
        <v>3311546.88</v>
      </c>
      <c r="M24" s="94">
        <f t="shared" si="12"/>
        <v>3212200.4736</v>
      </c>
      <c r="N24" s="94">
        <f t="shared" si="13"/>
        <v>99346.4064</v>
      </c>
    </row>
    <row r="25" ht="15.75" spans="1:11">
      <c r="A25" s="380"/>
      <c r="B25" s="374"/>
      <c r="C25" s="378"/>
      <c r="D25" s="378"/>
      <c r="E25" s="371">
        <f t="shared" si="8"/>
        <v>174908904.67</v>
      </c>
      <c r="F25" s="381">
        <f>F27+F28</f>
        <v>32086740.83</v>
      </c>
      <c r="G25" s="381">
        <f>G27+G28</f>
        <v>71411081.92</v>
      </c>
      <c r="H25" s="381">
        <f>H27+H28</f>
        <v>71411081.92</v>
      </c>
      <c r="I25" s="381">
        <f>I27+I28</f>
        <v>0</v>
      </c>
      <c r="J25" s="381">
        <f>J27+J28</f>
        <v>0</v>
      </c>
      <c r="K25" s="414" t="s">
        <v>15</v>
      </c>
    </row>
    <row r="26" ht="15.75" spans="1:11">
      <c r="A26" s="380"/>
      <c r="B26" s="374"/>
      <c r="C26" s="378"/>
      <c r="D26" s="378"/>
      <c r="E26" s="371">
        <f t="shared" si="8"/>
        <v>5409553.75</v>
      </c>
      <c r="F26" s="381">
        <f>F29+F30</f>
        <v>992373.43</v>
      </c>
      <c r="G26" s="381">
        <f>G29+G30</f>
        <v>2208590.16</v>
      </c>
      <c r="H26" s="381">
        <f>H29+H30</f>
        <v>2208590.16</v>
      </c>
      <c r="I26" s="381">
        <f>I29+I30</f>
        <v>0</v>
      </c>
      <c r="J26" s="381">
        <f>J29+J30</f>
        <v>0</v>
      </c>
      <c r="K26" s="414" t="s">
        <v>16</v>
      </c>
    </row>
    <row r="27" ht="15.75" spans="1:11">
      <c r="A27" s="377" t="s">
        <v>42</v>
      </c>
      <c r="B27" s="374" t="s">
        <v>43</v>
      </c>
      <c r="C27" s="27"/>
      <c r="D27" s="27"/>
      <c r="E27" s="371">
        <f t="shared" si="8"/>
        <v>166009963.37</v>
      </c>
      <c r="F27" s="28">
        <f>26400000-3212200.47</f>
        <v>23187799.53</v>
      </c>
      <c r="G27" s="28">
        <v>71411081.92</v>
      </c>
      <c r="H27" s="28">
        <v>71411081.92</v>
      </c>
      <c r="I27" s="28">
        <v>0</v>
      </c>
      <c r="J27" s="28">
        <v>0</v>
      </c>
      <c r="K27" s="64" t="s">
        <v>23</v>
      </c>
    </row>
    <row r="28" ht="15.75" spans="1:11">
      <c r="A28" s="380"/>
      <c r="B28" s="374"/>
      <c r="C28" s="27"/>
      <c r="D28" s="27"/>
      <c r="E28" s="371">
        <f t="shared" si="8"/>
        <v>8898941.3</v>
      </c>
      <c r="F28" s="28">
        <f>5686740.83+3212200.47</f>
        <v>8898941.3</v>
      </c>
      <c r="G28" s="28">
        <v>0</v>
      </c>
      <c r="H28" s="28">
        <v>0</v>
      </c>
      <c r="I28" s="28">
        <v>0</v>
      </c>
      <c r="J28" s="28">
        <v>0</v>
      </c>
      <c r="K28" s="64" t="s">
        <v>24</v>
      </c>
    </row>
    <row r="29" ht="15.75" spans="1:11">
      <c r="A29" s="380"/>
      <c r="B29" s="374"/>
      <c r="C29" s="27"/>
      <c r="D29" s="27"/>
      <c r="E29" s="371">
        <f t="shared" si="8"/>
        <v>5134328.76</v>
      </c>
      <c r="F29" s="28">
        <f>816494.85-99346.41</f>
        <v>717148.44</v>
      </c>
      <c r="G29" s="28">
        <v>2208590.16</v>
      </c>
      <c r="H29" s="28">
        <v>2208590.16</v>
      </c>
      <c r="I29" s="28">
        <v>0</v>
      </c>
      <c r="J29" s="28">
        <v>0</v>
      </c>
      <c r="K29" s="64" t="s">
        <v>44</v>
      </c>
    </row>
    <row r="30" ht="15.75" spans="1:11">
      <c r="A30" s="380"/>
      <c r="B30" s="374"/>
      <c r="C30" s="27"/>
      <c r="D30" s="27"/>
      <c r="E30" s="371">
        <f t="shared" si="8"/>
        <v>275224.99</v>
      </c>
      <c r="F30" s="28">
        <f>175878.58+99346.41</f>
        <v>275224.99</v>
      </c>
      <c r="G30" s="28">
        <v>0</v>
      </c>
      <c r="H30" s="28">
        <v>0</v>
      </c>
      <c r="I30" s="28">
        <v>0</v>
      </c>
      <c r="J30" s="28">
        <v>0</v>
      </c>
      <c r="K30" s="64" t="s">
        <v>45</v>
      </c>
    </row>
    <row r="31" ht="15.75" customHeight="1" spans="1:11">
      <c r="A31" s="377" t="s">
        <v>48</v>
      </c>
      <c r="B31" s="382" t="s">
        <v>82</v>
      </c>
      <c r="C31" s="383"/>
      <c r="D31" s="383"/>
      <c r="E31" s="371">
        <f t="shared" si="8"/>
        <v>85675032.4</v>
      </c>
      <c r="F31" s="384">
        <f>SUM(F32:F33)</f>
        <v>85675032.4</v>
      </c>
      <c r="G31" s="384">
        <f t="shared" ref="G31:J31" si="16">SUM(G32:G33)</f>
        <v>0</v>
      </c>
      <c r="H31" s="384">
        <f t="shared" si="16"/>
        <v>0</v>
      </c>
      <c r="I31" s="384">
        <f t="shared" si="16"/>
        <v>0</v>
      </c>
      <c r="J31" s="384">
        <f t="shared" si="16"/>
        <v>0</v>
      </c>
      <c r="K31" s="415" t="s">
        <v>50</v>
      </c>
    </row>
    <row r="32" ht="15.75" spans="1:11">
      <c r="A32" s="380"/>
      <c r="B32" s="385"/>
      <c r="C32" s="383"/>
      <c r="D32" s="383"/>
      <c r="E32" s="371">
        <f t="shared" si="8"/>
        <v>84818282.07</v>
      </c>
      <c r="F32" s="386">
        <v>84818282.07</v>
      </c>
      <c r="G32" s="386">
        <v>0</v>
      </c>
      <c r="H32" s="386">
        <v>0</v>
      </c>
      <c r="I32" s="386">
        <v>0</v>
      </c>
      <c r="J32" s="386">
        <v>0</v>
      </c>
      <c r="K32" s="415" t="s">
        <v>20</v>
      </c>
    </row>
    <row r="33" ht="21" customHeight="1" spans="1:11">
      <c r="A33" s="380"/>
      <c r="B33" s="385"/>
      <c r="C33" s="383"/>
      <c r="D33" s="383"/>
      <c r="E33" s="371">
        <f t="shared" si="8"/>
        <v>856750.33</v>
      </c>
      <c r="F33" s="386">
        <v>856750.33</v>
      </c>
      <c r="G33" s="386">
        <v>0</v>
      </c>
      <c r="H33" s="386">
        <v>0</v>
      </c>
      <c r="I33" s="386">
        <v>0</v>
      </c>
      <c r="J33" s="386">
        <v>0</v>
      </c>
      <c r="K33" s="415" t="s">
        <v>44</v>
      </c>
    </row>
    <row r="34" s="1" customFormat="1" ht="15.75" spans="1:11">
      <c r="A34" s="377" t="s">
        <v>83</v>
      </c>
      <c r="B34" s="382" t="s">
        <v>84</v>
      </c>
      <c r="C34" s="357"/>
      <c r="D34" s="357"/>
      <c r="E34" s="371">
        <f t="shared" si="8"/>
        <v>4025993.08</v>
      </c>
      <c r="F34" s="386">
        <f>F36+F35</f>
        <v>1900387.88</v>
      </c>
      <c r="G34" s="386">
        <f t="shared" ref="G34:J34" si="17">G36+G35</f>
        <v>1062802.6</v>
      </c>
      <c r="H34" s="386">
        <f t="shared" si="17"/>
        <v>1062802.6</v>
      </c>
      <c r="I34" s="386">
        <f t="shared" si="17"/>
        <v>0</v>
      </c>
      <c r="J34" s="386">
        <f t="shared" si="17"/>
        <v>0</v>
      </c>
      <c r="K34" s="416" t="s">
        <v>13</v>
      </c>
    </row>
    <row r="35" s="1" customFormat="1" ht="15.75" spans="1:11">
      <c r="A35" s="380"/>
      <c r="B35" s="385"/>
      <c r="C35" s="357"/>
      <c r="D35" s="357"/>
      <c r="E35" s="371">
        <f t="shared" si="8"/>
        <v>1800387.88</v>
      </c>
      <c r="F35" s="386">
        <f>900387.88+900000</f>
        <v>1800387.88</v>
      </c>
      <c r="G35" s="386">
        <v>0</v>
      </c>
      <c r="H35" s="386">
        <v>0</v>
      </c>
      <c r="I35" s="386">
        <v>0</v>
      </c>
      <c r="J35" s="386">
        <v>0</v>
      </c>
      <c r="K35" s="415" t="s">
        <v>29</v>
      </c>
    </row>
    <row r="36" s="1" customFormat="1" ht="15.75" spans="1:11">
      <c r="A36" s="380"/>
      <c r="B36" s="385"/>
      <c r="C36" s="357"/>
      <c r="D36" s="357"/>
      <c r="E36" s="371">
        <f t="shared" si="8"/>
        <v>2225605.2</v>
      </c>
      <c r="F36" s="386">
        <f>1000000-900000</f>
        <v>100000</v>
      </c>
      <c r="G36" s="386">
        <f>1069506.14-6703.54</f>
        <v>1062802.6</v>
      </c>
      <c r="H36" s="386">
        <f>1271892.85-209090.25</f>
        <v>1062802.6</v>
      </c>
      <c r="I36" s="386">
        <v>0</v>
      </c>
      <c r="J36" s="386">
        <v>0</v>
      </c>
      <c r="K36" s="415" t="s">
        <v>30</v>
      </c>
    </row>
    <row r="37" ht="18.75" spans="1:11">
      <c r="A37" s="315" t="s">
        <v>55</v>
      </c>
      <c r="B37" s="367" t="s">
        <v>56</v>
      </c>
      <c r="C37" s="367"/>
      <c r="D37" s="367"/>
      <c r="E37" s="367"/>
      <c r="F37" s="367"/>
      <c r="G37" s="367"/>
      <c r="H37" s="367"/>
      <c r="I37" s="367"/>
      <c r="J37" s="367"/>
      <c r="K37" s="367"/>
    </row>
    <row r="38" ht="15.75" spans="1:11">
      <c r="A38" s="387" t="s">
        <v>57</v>
      </c>
      <c r="B38" s="388" t="s">
        <v>85</v>
      </c>
      <c r="C38" s="389"/>
      <c r="D38" s="389"/>
      <c r="E38" s="390">
        <f t="shared" si="8"/>
        <v>12121212.12</v>
      </c>
      <c r="F38" s="391">
        <f>F39+F40</f>
        <v>12121212.12</v>
      </c>
      <c r="G38" s="391">
        <f t="shared" ref="G38:J38" si="18">G39+G40</f>
        <v>0</v>
      </c>
      <c r="H38" s="391">
        <f t="shared" si="18"/>
        <v>0</v>
      </c>
      <c r="I38" s="391">
        <f t="shared" si="18"/>
        <v>0</v>
      </c>
      <c r="J38" s="391">
        <f t="shared" si="18"/>
        <v>0</v>
      </c>
      <c r="K38" s="418" t="s">
        <v>10</v>
      </c>
    </row>
    <row r="39" ht="15.75" spans="1:11">
      <c r="A39" s="392"/>
      <c r="B39" s="388"/>
      <c r="C39" s="389"/>
      <c r="D39" s="389"/>
      <c r="E39" s="390">
        <f t="shared" si="8"/>
        <v>12000000</v>
      </c>
      <c r="F39" s="391">
        <f>F41+F42</f>
        <v>12000000</v>
      </c>
      <c r="G39" s="391">
        <f t="shared" ref="G39:J39" si="19">G41+G42</f>
        <v>0</v>
      </c>
      <c r="H39" s="391">
        <f t="shared" si="19"/>
        <v>0</v>
      </c>
      <c r="I39" s="391">
        <f t="shared" si="19"/>
        <v>0</v>
      </c>
      <c r="J39" s="391">
        <f t="shared" si="19"/>
        <v>0</v>
      </c>
      <c r="K39" s="418" t="s">
        <v>15</v>
      </c>
    </row>
    <row r="40" ht="15.75" spans="1:11">
      <c r="A40" s="392"/>
      <c r="B40" s="388"/>
      <c r="C40" s="389"/>
      <c r="D40" s="389"/>
      <c r="E40" s="390">
        <f t="shared" si="8"/>
        <v>121212.12</v>
      </c>
      <c r="F40" s="391">
        <f>F43+F44</f>
        <v>121212.12</v>
      </c>
      <c r="G40" s="391">
        <f t="shared" ref="G40:J40" si="20">G43+G44</f>
        <v>0</v>
      </c>
      <c r="H40" s="391">
        <f t="shared" si="20"/>
        <v>0</v>
      </c>
      <c r="I40" s="391">
        <f t="shared" si="20"/>
        <v>0</v>
      </c>
      <c r="J40" s="391">
        <f t="shared" si="20"/>
        <v>0</v>
      </c>
      <c r="K40" s="418" t="s">
        <v>16</v>
      </c>
    </row>
    <row r="41" ht="15.75" spans="1:11">
      <c r="A41" s="393" t="s">
        <v>59</v>
      </c>
      <c r="B41" s="394" t="s">
        <v>86</v>
      </c>
      <c r="C41" s="27"/>
      <c r="D41" s="27"/>
      <c r="E41" s="390">
        <f t="shared" si="8"/>
        <v>12000000</v>
      </c>
      <c r="F41" s="28">
        <v>12000000</v>
      </c>
      <c r="G41" s="28">
        <v>0</v>
      </c>
      <c r="H41" s="28">
        <v>0</v>
      </c>
      <c r="I41" s="28">
        <v>0</v>
      </c>
      <c r="J41" s="28">
        <v>0</v>
      </c>
      <c r="K41" s="411" t="s">
        <v>65</v>
      </c>
    </row>
    <row r="42" ht="15.75" spans="1:11">
      <c r="A42" s="393"/>
      <c r="B42" s="394"/>
      <c r="C42" s="27"/>
      <c r="D42" s="27"/>
      <c r="E42" s="390">
        <f t="shared" si="8"/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412" t="s">
        <v>67</v>
      </c>
    </row>
    <row r="43" ht="15.75" spans="1:11">
      <c r="A43" s="393"/>
      <c r="B43" s="394"/>
      <c r="C43" s="27"/>
      <c r="D43" s="27"/>
      <c r="E43" s="390">
        <f t="shared" si="8"/>
        <v>121212.12</v>
      </c>
      <c r="F43" s="28">
        <v>121212.12</v>
      </c>
      <c r="G43" s="28">
        <v>0</v>
      </c>
      <c r="H43" s="28">
        <v>0</v>
      </c>
      <c r="I43" s="28">
        <v>0</v>
      </c>
      <c r="J43" s="28">
        <v>0</v>
      </c>
      <c r="K43" s="411" t="s">
        <v>44</v>
      </c>
    </row>
    <row r="44" ht="15.75" spans="1:11">
      <c r="A44" s="393"/>
      <c r="B44" s="395"/>
      <c r="C44" s="27"/>
      <c r="D44" s="27"/>
      <c r="E44" s="390">
        <f t="shared" si="8"/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412" t="s">
        <v>45</v>
      </c>
    </row>
    <row r="45" ht="18.75" customHeight="1" spans="1:11">
      <c r="A45" s="396" t="s">
        <v>70</v>
      </c>
      <c r="B45" s="396"/>
      <c r="C45" s="396"/>
      <c r="D45" s="517"/>
      <c r="E45" s="279">
        <f t="shared" ref="E45:E49" si="21">SUM(F45:J45)</f>
        <v>487780114.3</v>
      </c>
      <c r="F45" s="279">
        <f>F46+F47+F48+F49</f>
        <v>297937823.24</v>
      </c>
      <c r="G45" s="279">
        <f t="shared" ref="G45:J45" si="22">G46+G47+G48+G49</f>
        <v>115159816.38</v>
      </c>
      <c r="H45" s="279">
        <f t="shared" si="22"/>
        <v>74682474.68</v>
      </c>
      <c r="I45" s="279">
        <f t="shared" si="22"/>
        <v>0</v>
      </c>
      <c r="J45" s="279">
        <f t="shared" si="22"/>
        <v>0</v>
      </c>
      <c r="K45" s="340"/>
    </row>
    <row r="46" ht="18.75" spans="1:11">
      <c r="A46" s="399"/>
      <c r="B46" s="399"/>
      <c r="C46" s="399"/>
      <c r="D46" s="518"/>
      <c r="E46" s="279">
        <f t="shared" si="21"/>
        <v>265766855.39</v>
      </c>
      <c r="F46" s="280">
        <f>F4+F20</f>
        <v>226297399.5</v>
      </c>
      <c r="G46" s="280">
        <f>G4+G20</f>
        <v>39469455.89</v>
      </c>
      <c r="H46" s="280">
        <f>H4+H20</f>
        <v>0</v>
      </c>
      <c r="I46" s="280">
        <f>I4+I20</f>
        <v>0</v>
      </c>
      <c r="J46" s="280">
        <f>J4+J20</f>
        <v>0</v>
      </c>
      <c r="K46" s="420" t="s">
        <v>14</v>
      </c>
    </row>
    <row r="47" ht="18.75" spans="1:11">
      <c r="A47" s="399"/>
      <c r="B47" s="399"/>
      <c r="C47" s="399"/>
      <c r="D47" s="518"/>
      <c r="E47" s="279">
        <f t="shared" si="21"/>
        <v>188438467.39</v>
      </c>
      <c r="F47" s="280">
        <f t="shared" ref="F47:J48" si="23">F5+F21+F39</f>
        <v>44810804.45</v>
      </c>
      <c r="G47" s="280">
        <f t="shared" si="23"/>
        <v>72216581.02</v>
      </c>
      <c r="H47" s="280">
        <f t="shared" si="23"/>
        <v>71411081.92</v>
      </c>
      <c r="I47" s="280">
        <f t="shared" si="23"/>
        <v>0</v>
      </c>
      <c r="J47" s="280">
        <f t="shared" si="23"/>
        <v>0</v>
      </c>
      <c r="K47" s="420" t="s">
        <v>71</v>
      </c>
    </row>
    <row r="48" ht="18.75" customHeight="1" spans="1:11">
      <c r="A48" s="399"/>
      <c r="B48" s="399"/>
      <c r="C48" s="399"/>
      <c r="D48" s="518"/>
      <c r="E48" s="279">
        <f t="shared" si="21"/>
        <v>6771828.44</v>
      </c>
      <c r="F48" s="280">
        <f t="shared" si="23"/>
        <v>2152261.41</v>
      </c>
      <c r="G48" s="280">
        <f t="shared" si="23"/>
        <v>2410976.87</v>
      </c>
      <c r="H48" s="280">
        <f t="shared" si="23"/>
        <v>2208590.16</v>
      </c>
      <c r="I48" s="280">
        <f t="shared" si="23"/>
        <v>0</v>
      </c>
      <c r="J48" s="280">
        <f t="shared" si="23"/>
        <v>0</v>
      </c>
      <c r="K48" s="287" t="s">
        <v>16</v>
      </c>
    </row>
    <row r="49" ht="18.75" customHeight="1" spans="1:11">
      <c r="A49" s="402"/>
      <c r="B49" s="402"/>
      <c r="C49" s="402"/>
      <c r="D49" s="519"/>
      <c r="E49" s="279">
        <f t="shared" si="21"/>
        <v>26802963.08</v>
      </c>
      <c r="F49" s="282">
        <f>F23+F7</f>
        <v>24677357.88</v>
      </c>
      <c r="G49" s="282">
        <f t="shared" ref="G49:J49" si="24">G23</f>
        <v>1062802.6</v>
      </c>
      <c r="H49" s="282">
        <f t="shared" si="24"/>
        <v>1062802.6</v>
      </c>
      <c r="I49" s="282">
        <f t="shared" si="24"/>
        <v>0</v>
      </c>
      <c r="J49" s="282">
        <f t="shared" si="24"/>
        <v>0</v>
      </c>
      <c r="K49" s="287" t="s">
        <v>73</v>
      </c>
    </row>
    <row r="50" ht="18.75" spans="1:11">
      <c r="A50" s="284" t="s">
        <v>97</v>
      </c>
      <c r="B50" s="284"/>
      <c r="C50" s="284"/>
      <c r="D50" s="284"/>
      <c r="E50" s="323"/>
      <c r="F50" s="323"/>
      <c r="G50" s="323"/>
      <c r="H50" s="323"/>
      <c r="I50" s="323"/>
      <c r="J50" s="323"/>
      <c r="K50" s="340"/>
    </row>
    <row r="51" ht="15.75" spans="2:11">
      <c r="B51" s="467"/>
      <c r="C51" s="467"/>
      <c r="D51" s="467"/>
      <c r="J51" s="479"/>
      <c r="K51" s="479"/>
    </row>
    <row r="52" ht="15.75" spans="9:11">
      <c r="I52" s="3" t="s">
        <v>87</v>
      </c>
      <c r="J52" s="480"/>
      <c r="K52" s="480">
        <v>178063747.64</v>
      </c>
    </row>
    <row r="53" s="1" customFormat="1" ht="15.75" spans="1:11">
      <c r="A53" s="3"/>
      <c r="B53" s="3"/>
      <c r="C53" s="3"/>
      <c r="D53" s="3"/>
      <c r="E53" s="3"/>
      <c r="F53" s="3"/>
      <c r="G53" s="3"/>
      <c r="H53" s="3"/>
      <c r="I53" s="3" t="s">
        <v>88</v>
      </c>
      <c r="J53" s="480"/>
      <c r="K53" s="480">
        <v>506829756.46</v>
      </c>
    </row>
    <row r="54" s="1" customFormat="1" ht="15.75" spans="1:11">
      <c r="A54" s="3"/>
      <c r="B54" s="3"/>
      <c r="C54" s="3"/>
      <c r="D54" s="3"/>
      <c r="E54" s="3"/>
      <c r="F54" s="3"/>
      <c r="G54" s="3"/>
      <c r="H54" s="3"/>
      <c r="I54" s="3"/>
      <c r="J54" s="480"/>
      <c r="K54" s="481">
        <f>E45+K52+K53</f>
        <v>1172673618.4</v>
      </c>
    </row>
    <row r="55" s="1" customFormat="1" ht="15.75" spans="1:11">
      <c r="A55" s="3"/>
      <c r="B55" s="3"/>
      <c r="C55" s="3"/>
      <c r="D55" s="3"/>
      <c r="E55" s="3"/>
      <c r="F55" s="3"/>
      <c r="G55" s="3"/>
      <c r="H55" s="3"/>
      <c r="I55" s="3"/>
      <c r="J55" s="480"/>
      <c r="K55" s="480"/>
    </row>
    <row r="56" s="1" customFormat="1" ht="15.75" spans="1:11">
      <c r="A56" s="3"/>
      <c r="B56" s="3"/>
      <c r="C56" s="3"/>
      <c r="D56" s="3"/>
      <c r="E56" s="3"/>
      <c r="F56" s="3"/>
      <c r="G56" s="3"/>
      <c r="H56" s="3"/>
      <c r="I56" s="3"/>
      <c r="J56" s="480"/>
      <c r="K56" s="480"/>
    </row>
    <row r="57" s="1" customFormat="1" ht="15.75" spans="1:11">
      <c r="A57" s="3"/>
      <c r="B57" s="3"/>
      <c r="C57" s="3"/>
      <c r="D57" s="3"/>
      <c r="E57" s="3"/>
      <c r="F57" s="3"/>
      <c r="G57" s="3"/>
      <c r="H57" s="3"/>
      <c r="I57" s="3"/>
      <c r="J57" s="480"/>
      <c r="K57" s="480"/>
    </row>
  </sheetData>
  <sheetProtection algorithmName="SHA-512" hashValue="KNxRPM6CjOfkdXGWRp6D+OTl3WDu/qxwFBh1K4V6tZPOhUD3xn8UKNaTTQfud6bxEzenMk5Re6bKcu3bDyycPQ==" saltValue="4CfQx15c37VFoa7TVaunNw==" spinCount="100000" sheet="1" objects="1" scenarios="1"/>
  <mergeCells count="23">
    <mergeCell ref="B18:K18"/>
    <mergeCell ref="B37:K37"/>
    <mergeCell ref="A50:D50"/>
    <mergeCell ref="A3:A6"/>
    <mergeCell ref="A8:A14"/>
    <mergeCell ref="A15:A17"/>
    <mergeCell ref="A19:A23"/>
    <mergeCell ref="A24:A26"/>
    <mergeCell ref="A27:A30"/>
    <mergeCell ref="A31:A33"/>
    <mergeCell ref="A34:A36"/>
    <mergeCell ref="A38:A40"/>
    <mergeCell ref="A41:A44"/>
    <mergeCell ref="B3:B6"/>
    <mergeCell ref="B8:B14"/>
    <mergeCell ref="B15:B17"/>
    <mergeCell ref="B19:B23"/>
    <mergeCell ref="B24:B26"/>
    <mergeCell ref="B27:B30"/>
    <mergeCell ref="B31:B33"/>
    <mergeCell ref="B34:B36"/>
    <mergeCell ref="B38:B40"/>
    <mergeCell ref="B41:B44"/>
  </mergeCells>
  <pageMargins left="0.118110236220472" right="0.118110236220472" top="0.15748031496063" bottom="0.15748031496063" header="0.31496062992126" footer="0.31496062992126"/>
  <pageSetup paperSize="9" scale="60" orientation="portrait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8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7" width="15.4285714285714" style="3" customWidth="1"/>
    <col min="8" max="8" width="14.2857142857143" style="3" customWidth="1"/>
    <col min="9" max="9" width="9.71428571428571" style="3" customWidth="1"/>
    <col min="10" max="10" width="7" style="3" customWidth="1"/>
    <col min="11" max="11" width="17.2857142857143" style="4" customWidth="1"/>
    <col min="12" max="12" width="18.5714285714286" style="8" customWidth="1"/>
    <col min="13" max="13" width="11.7142857142857" style="8" customWidth="1"/>
    <col min="14" max="14" width="10.5714285714286" style="8" customWidth="1"/>
    <col min="15" max="16384" width="39" style="8"/>
  </cols>
  <sheetData>
    <row r="1" ht="21" spans="1:11">
      <c r="A1" s="483" t="s">
        <v>0</v>
      </c>
      <c r="B1" s="484" t="s">
        <v>1</v>
      </c>
      <c r="C1" s="484" t="s">
        <v>2</v>
      </c>
      <c r="D1" s="484" t="s">
        <v>3</v>
      </c>
      <c r="E1" s="484" t="s">
        <v>4</v>
      </c>
      <c r="F1" s="485">
        <v>2023</v>
      </c>
      <c r="G1" s="485">
        <v>2024</v>
      </c>
      <c r="H1" s="486">
        <v>2025</v>
      </c>
      <c r="I1" s="485">
        <v>2026</v>
      </c>
      <c r="J1" s="485">
        <v>2027</v>
      </c>
      <c r="K1" s="520" t="s">
        <v>100</v>
      </c>
    </row>
    <row r="2" s="1" customFormat="1" ht="19.5" spans="1:11">
      <c r="A2" s="427" t="s">
        <v>6</v>
      </c>
      <c r="B2" s="487" t="s">
        <v>7</v>
      </c>
      <c r="C2" s="429"/>
      <c r="D2" s="429"/>
      <c r="E2" s="429"/>
      <c r="F2" s="430"/>
      <c r="G2" s="430"/>
      <c r="H2" s="429"/>
      <c r="I2" s="430"/>
      <c r="J2" s="430"/>
      <c r="K2" s="469"/>
    </row>
    <row r="3" s="1" customFormat="1" ht="15.75" customHeight="1" spans="1:11">
      <c r="A3" s="350" t="s">
        <v>8</v>
      </c>
      <c r="B3" s="509" t="s">
        <v>77</v>
      </c>
      <c r="C3" s="352"/>
      <c r="D3" s="352"/>
      <c r="E3" s="353">
        <f>F3+G3+H3+I3+J3</f>
        <v>205041418.28</v>
      </c>
      <c r="F3" s="354">
        <f>SUM(F4:F7)</f>
        <v>164564076.58</v>
      </c>
      <c r="G3" s="354">
        <f>SUM(G4:G7)</f>
        <v>40477341.7</v>
      </c>
      <c r="H3" s="354">
        <f>SUM(H4:H7)</f>
        <v>0</v>
      </c>
      <c r="I3" s="354">
        <f>SUM(I4:I7)</f>
        <v>0</v>
      </c>
      <c r="J3" s="354">
        <f>SUM(J4:J7)</f>
        <v>0</v>
      </c>
      <c r="K3" s="408" t="s">
        <v>13</v>
      </c>
    </row>
    <row r="4" s="1" customFormat="1" ht="15.75" spans="1:11">
      <c r="A4" s="355"/>
      <c r="B4" s="510"/>
      <c r="C4" s="352"/>
      <c r="D4" s="352"/>
      <c r="E4" s="353">
        <f t="shared" ref="E4:E11" si="0">SUM(F4:J4)</f>
        <v>180948573.32</v>
      </c>
      <c r="F4" s="354">
        <f>F9+F10+F16</f>
        <v>141479117.43</v>
      </c>
      <c r="G4" s="354">
        <f t="shared" ref="G4:J4" si="1">G9+G10</f>
        <v>39469455.89</v>
      </c>
      <c r="H4" s="354">
        <f t="shared" si="1"/>
        <v>0</v>
      </c>
      <c r="I4" s="354">
        <f t="shared" si="1"/>
        <v>0</v>
      </c>
      <c r="J4" s="354">
        <f t="shared" si="1"/>
        <v>0</v>
      </c>
      <c r="K4" s="409" t="s">
        <v>78</v>
      </c>
    </row>
    <row r="5" s="1" customFormat="1" ht="15.75" spans="1:11">
      <c r="A5" s="355"/>
      <c r="B5" s="510"/>
      <c r="C5" s="352"/>
      <c r="D5" s="352"/>
      <c r="E5" s="353">
        <f t="shared" si="0"/>
        <v>1529562.72</v>
      </c>
      <c r="F5" s="354">
        <f>F11+F12</f>
        <v>724063.62</v>
      </c>
      <c r="G5" s="354">
        <f t="shared" ref="G5:J5" si="2">G11+G12</f>
        <v>805499.1</v>
      </c>
      <c r="H5" s="354">
        <f t="shared" si="2"/>
        <v>0</v>
      </c>
      <c r="I5" s="354">
        <f t="shared" si="2"/>
        <v>0</v>
      </c>
      <c r="J5" s="354">
        <f t="shared" si="2"/>
        <v>0</v>
      </c>
      <c r="K5" s="409" t="s">
        <v>71</v>
      </c>
    </row>
    <row r="6" s="1" customFormat="1" ht="15.75" spans="1:11">
      <c r="A6" s="355"/>
      <c r="B6" s="510"/>
      <c r="C6" s="352"/>
      <c r="D6" s="352"/>
      <c r="E6" s="353">
        <f t="shared" si="0"/>
        <v>384312.24</v>
      </c>
      <c r="F6" s="354">
        <f>F13+F14</f>
        <v>181925.53</v>
      </c>
      <c r="G6" s="354">
        <f t="shared" ref="G6:J6" si="3">G13+G14</f>
        <v>202386.71</v>
      </c>
      <c r="H6" s="354">
        <f t="shared" si="3"/>
        <v>0</v>
      </c>
      <c r="I6" s="354">
        <f t="shared" si="3"/>
        <v>0</v>
      </c>
      <c r="J6" s="354">
        <f t="shared" si="3"/>
        <v>0</v>
      </c>
      <c r="K6" s="409" t="s">
        <v>16</v>
      </c>
    </row>
    <row r="7" s="1" customFormat="1" ht="16.5" spans="1:11">
      <c r="A7" s="355"/>
      <c r="B7" s="510"/>
      <c r="C7" s="352"/>
      <c r="D7" s="352"/>
      <c r="E7" s="353">
        <f t="shared" si="0"/>
        <v>22178970</v>
      </c>
      <c r="F7" s="354">
        <f>F17</f>
        <v>22178970</v>
      </c>
      <c r="G7" s="354">
        <f t="shared" ref="G7:J7" si="4">G17</f>
        <v>0</v>
      </c>
      <c r="H7" s="354">
        <f t="shared" si="4"/>
        <v>0</v>
      </c>
      <c r="I7" s="354">
        <f t="shared" si="4"/>
        <v>0</v>
      </c>
      <c r="J7" s="354">
        <f t="shared" si="4"/>
        <v>0</v>
      </c>
      <c r="K7" s="409" t="s">
        <v>73</v>
      </c>
    </row>
    <row r="8" s="1" customFormat="1" ht="15.75" spans="1:11">
      <c r="A8" s="350" t="s">
        <v>11</v>
      </c>
      <c r="B8" s="511" t="s">
        <v>79</v>
      </c>
      <c r="C8" s="352"/>
      <c r="D8" s="352"/>
      <c r="E8" s="353">
        <f t="shared" si="0"/>
        <v>76862448.28</v>
      </c>
      <c r="F8" s="354">
        <f>F9+F10+F11+F12+F13+F14</f>
        <v>36385106.58</v>
      </c>
      <c r="G8" s="354">
        <f t="shared" ref="G8:J8" si="5">G9+G10+G11+G12+G13+G14</f>
        <v>40477341.7</v>
      </c>
      <c r="H8" s="354">
        <f t="shared" si="5"/>
        <v>0</v>
      </c>
      <c r="I8" s="354">
        <f t="shared" si="5"/>
        <v>0</v>
      </c>
      <c r="J8" s="354">
        <f t="shared" si="5"/>
        <v>0</v>
      </c>
      <c r="K8" s="408" t="s">
        <v>13</v>
      </c>
    </row>
    <row r="9" s="1" customFormat="1" ht="15.75" spans="1:11">
      <c r="A9" s="355"/>
      <c r="B9" s="512"/>
      <c r="C9" s="357"/>
      <c r="D9" s="357"/>
      <c r="E9" s="353">
        <f t="shared" si="0"/>
        <v>35479117.43</v>
      </c>
      <c r="F9" s="358">
        <v>35479117.43</v>
      </c>
      <c r="G9" s="360">
        <v>0</v>
      </c>
      <c r="H9" s="360">
        <v>0</v>
      </c>
      <c r="I9" s="410">
        <v>0</v>
      </c>
      <c r="J9" s="410">
        <v>0</v>
      </c>
      <c r="K9" s="411" t="s">
        <v>20</v>
      </c>
    </row>
    <row r="10" s="1" customFormat="1" ht="15.75" spans="1:11">
      <c r="A10" s="355"/>
      <c r="B10" s="512"/>
      <c r="C10" s="357"/>
      <c r="D10" s="357"/>
      <c r="E10" s="353">
        <f t="shared" si="0"/>
        <v>39469455.89</v>
      </c>
      <c r="F10" s="361">
        <v>0</v>
      </c>
      <c r="G10" s="361">
        <v>39469455.89</v>
      </c>
      <c r="H10" s="361">
        <v>0</v>
      </c>
      <c r="I10" s="361">
        <v>0</v>
      </c>
      <c r="J10" s="361">
        <v>0</v>
      </c>
      <c r="K10" s="412" t="s">
        <v>21</v>
      </c>
    </row>
    <row r="11" s="1" customFormat="1" ht="15.75" spans="1:11">
      <c r="A11" s="355"/>
      <c r="B11" s="512"/>
      <c r="C11" s="357"/>
      <c r="D11" s="357"/>
      <c r="E11" s="353">
        <f t="shared" si="0"/>
        <v>724063.62</v>
      </c>
      <c r="F11" s="359">
        <v>724063.62</v>
      </c>
      <c r="G11" s="359">
        <v>0</v>
      </c>
      <c r="H11" s="359">
        <v>0</v>
      </c>
      <c r="I11" s="359">
        <v>0</v>
      </c>
      <c r="J11" s="359">
        <v>0</v>
      </c>
      <c r="K11" s="411" t="s">
        <v>23</v>
      </c>
    </row>
    <row r="12" s="1" customFormat="1" ht="15.75" spans="1:11">
      <c r="A12" s="355"/>
      <c r="B12" s="512"/>
      <c r="C12" s="357"/>
      <c r="D12" s="357"/>
      <c r="E12" s="353">
        <f t="shared" ref="E12:E17" si="6">SUM(F12:J12)</f>
        <v>805499.1</v>
      </c>
      <c r="F12" s="361">
        <v>0</v>
      </c>
      <c r="G12" s="361">
        <v>805499.1</v>
      </c>
      <c r="H12" s="361">
        <v>0</v>
      </c>
      <c r="I12" s="361">
        <v>0</v>
      </c>
      <c r="J12" s="361">
        <v>0</v>
      </c>
      <c r="K12" s="412" t="s">
        <v>24</v>
      </c>
    </row>
    <row r="13" s="1" customFormat="1" ht="15.75" spans="1:11">
      <c r="A13" s="355"/>
      <c r="B13" s="512"/>
      <c r="C13" s="357"/>
      <c r="D13" s="357"/>
      <c r="E13" s="353">
        <f t="shared" si="6"/>
        <v>181925.53</v>
      </c>
      <c r="F13" s="359">
        <v>181925.53</v>
      </c>
      <c r="G13" s="359">
        <v>0</v>
      </c>
      <c r="H13" s="359">
        <v>0</v>
      </c>
      <c r="I13" s="359">
        <v>0</v>
      </c>
      <c r="J13" s="359">
        <v>0</v>
      </c>
      <c r="K13" s="411" t="s">
        <v>26</v>
      </c>
    </row>
    <row r="14" s="1" customFormat="1" ht="16.5" spans="1:11">
      <c r="A14" s="362"/>
      <c r="B14" s="513"/>
      <c r="C14" s="357"/>
      <c r="D14" s="357"/>
      <c r="E14" s="353">
        <f t="shared" si="6"/>
        <v>202386.71</v>
      </c>
      <c r="F14" s="361">
        <v>0</v>
      </c>
      <c r="G14" s="361">
        <v>202386.71</v>
      </c>
      <c r="H14" s="361">
        <v>0</v>
      </c>
      <c r="I14" s="361">
        <v>0</v>
      </c>
      <c r="J14" s="361">
        <v>0</v>
      </c>
      <c r="K14" s="412" t="s">
        <v>27</v>
      </c>
    </row>
    <row r="15" s="1" customFormat="1" ht="15.75" spans="1:11">
      <c r="A15" s="350" t="s">
        <v>91</v>
      </c>
      <c r="B15" s="514" t="s">
        <v>92</v>
      </c>
      <c r="C15" s="357"/>
      <c r="D15" s="357"/>
      <c r="E15" s="353">
        <f t="shared" si="6"/>
        <v>128178970</v>
      </c>
      <c r="F15" s="361">
        <f>F17+F16</f>
        <v>128178970</v>
      </c>
      <c r="G15" s="361">
        <f>++G17</f>
        <v>0</v>
      </c>
      <c r="H15" s="361">
        <f>+H16</f>
        <v>0</v>
      </c>
      <c r="I15" s="361">
        <f t="shared" ref="I15:J15" si="7">+I16</f>
        <v>0</v>
      </c>
      <c r="J15" s="361">
        <f t="shared" si="7"/>
        <v>0</v>
      </c>
      <c r="K15" s="412" t="s">
        <v>13</v>
      </c>
    </row>
    <row r="16" s="1" customFormat="1" ht="15.75" spans="1:11">
      <c r="A16" s="355"/>
      <c r="B16" s="515"/>
      <c r="C16" s="357"/>
      <c r="D16" s="357"/>
      <c r="E16" s="353">
        <f t="shared" si="6"/>
        <v>106000000</v>
      </c>
      <c r="F16" s="358">
        <v>106000000</v>
      </c>
      <c r="G16" s="358">
        <v>0</v>
      </c>
      <c r="H16" s="358">
        <v>0</v>
      </c>
      <c r="I16" s="358">
        <v>0</v>
      </c>
      <c r="J16" s="358">
        <v>0</v>
      </c>
      <c r="K16" s="411" t="s">
        <v>95</v>
      </c>
    </row>
    <row r="17" s="1" customFormat="1" ht="25.5" customHeight="1" spans="1:11">
      <c r="A17" s="355"/>
      <c r="B17" s="516"/>
      <c r="C17" s="357"/>
      <c r="D17" s="357"/>
      <c r="E17" s="353">
        <f t="shared" si="6"/>
        <v>22178970</v>
      </c>
      <c r="F17" s="358">
        <f>22776970-598000</f>
        <v>22178970</v>
      </c>
      <c r="G17" s="358">
        <v>0</v>
      </c>
      <c r="H17" s="358">
        <v>0</v>
      </c>
      <c r="I17" s="358">
        <v>0</v>
      </c>
      <c r="J17" s="358">
        <v>0</v>
      </c>
      <c r="K17" s="411" t="s">
        <v>96</v>
      </c>
    </row>
    <row r="18" ht="18.75" spans="1:11">
      <c r="A18" s="315" t="s">
        <v>36</v>
      </c>
      <c r="B18" s="367" t="s">
        <v>37</v>
      </c>
      <c r="C18" s="367"/>
      <c r="D18" s="367"/>
      <c r="E18" s="367"/>
      <c r="F18" s="367"/>
      <c r="G18" s="367"/>
      <c r="H18" s="367"/>
      <c r="I18" s="367"/>
      <c r="J18" s="367"/>
      <c r="K18" s="367"/>
    </row>
    <row r="19" ht="17.25" customHeight="1" spans="1:11">
      <c r="A19" s="368" t="s">
        <v>38</v>
      </c>
      <c r="B19" s="369" t="s">
        <v>80</v>
      </c>
      <c r="C19" s="370"/>
      <c r="D19" s="370"/>
      <c r="E19" s="371">
        <f t="shared" ref="E19:E45" si="8">F19+G19+H19+I19+J19</f>
        <v>270617483.9</v>
      </c>
      <c r="F19" s="371">
        <f>F20+F21+F22+F23</f>
        <v>121252534.54</v>
      </c>
      <c r="G19" s="371">
        <f t="shared" ref="G19:J19" si="9">G20+G21+G22+G23</f>
        <v>74682474.68</v>
      </c>
      <c r="H19" s="371">
        <f t="shared" si="9"/>
        <v>74682474.68</v>
      </c>
      <c r="I19" s="371">
        <f t="shared" si="9"/>
        <v>0</v>
      </c>
      <c r="J19" s="371">
        <f t="shared" si="9"/>
        <v>0</v>
      </c>
      <c r="K19" s="413" t="s">
        <v>10</v>
      </c>
    </row>
    <row r="20" ht="21.75" customHeight="1" spans="1:11">
      <c r="A20" s="372"/>
      <c r="B20" s="373"/>
      <c r="C20" s="370"/>
      <c r="D20" s="370"/>
      <c r="E20" s="371">
        <f t="shared" si="8"/>
        <v>84818282.07</v>
      </c>
      <c r="F20" s="371">
        <f>F32</f>
        <v>84818282.07</v>
      </c>
      <c r="G20" s="371">
        <f t="shared" ref="G20:J20" si="10">G32</f>
        <v>0</v>
      </c>
      <c r="H20" s="371">
        <f t="shared" si="10"/>
        <v>0</v>
      </c>
      <c r="I20" s="371">
        <f t="shared" si="10"/>
        <v>0</v>
      </c>
      <c r="J20" s="371">
        <f t="shared" si="10"/>
        <v>0</v>
      </c>
      <c r="K20" s="371" t="s">
        <v>14</v>
      </c>
    </row>
    <row r="21" spans="1:11">
      <c r="A21" s="372"/>
      <c r="B21" s="373"/>
      <c r="C21" s="374"/>
      <c r="D21" s="374"/>
      <c r="E21" s="371">
        <f t="shared" si="8"/>
        <v>174908904.67</v>
      </c>
      <c r="F21" s="371">
        <f>F25</f>
        <v>32086740.83</v>
      </c>
      <c r="G21" s="371">
        <f t="shared" ref="G21:J21" si="11">G25</f>
        <v>71411081.92</v>
      </c>
      <c r="H21" s="371">
        <f t="shared" si="11"/>
        <v>71411081.92</v>
      </c>
      <c r="I21" s="371">
        <f t="shared" si="11"/>
        <v>0</v>
      </c>
      <c r="J21" s="371">
        <f t="shared" si="11"/>
        <v>0</v>
      </c>
      <c r="K21" s="261" t="s">
        <v>15</v>
      </c>
    </row>
    <row r="22" spans="1:14">
      <c r="A22" s="372"/>
      <c r="B22" s="373"/>
      <c r="C22" s="374"/>
      <c r="D22" s="374"/>
      <c r="E22" s="371">
        <f t="shared" si="8"/>
        <v>6266304.08</v>
      </c>
      <c r="F22" s="371">
        <f>F26+F33</f>
        <v>1849123.76</v>
      </c>
      <c r="G22" s="371">
        <f>G26+G33</f>
        <v>2208590.16</v>
      </c>
      <c r="H22" s="371">
        <f>H26+H33</f>
        <v>2208590.16</v>
      </c>
      <c r="I22" s="371">
        <f>I26+I33</f>
        <v>0</v>
      </c>
      <c r="J22" s="371">
        <f>J26+J33</f>
        <v>0</v>
      </c>
      <c r="K22" s="261" t="s">
        <v>16</v>
      </c>
      <c r="L22" s="94"/>
      <c r="M22" s="94"/>
      <c r="N22" s="94"/>
    </row>
    <row r="23" spans="1:14">
      <c r="A23" s="375"/>
      <c r="B23" s="376"/>
      <c r="C23" s="374"/>
      <c r="D23" s="374"/>
      <c r="E23" s="371">
        <f t="shared" si="8"/>
        <v>4623993.08</v>
      </c>
      <c r="F23" s="371">
        <f>F34</f>
        <v>2498387.88</v>
      </c>
      <c r="G23" s="371">
        <f t="shared" ref="G23:J23" si="12">G34</f>
        <v>1062802.6</v>
      </c>
      <c r="H23" s="371">
        <f t="shared" si="12"/>
        <v>1062802.6</v>
      </c>
      <c r="I23" s="371">
        <f t="shared" si="12"/>
        <v>0</v>
      </c>
      <c r="J23" s="371">
        <f t="shared" si="12"/>
        <v>0</v>
      </c>
      <c r="K23" s="371" t="s">
        <v>17</v>
      </c>
      <c r="L23" s="94"/>
      <c r="M23" s="94"/>
      <c r="N23" s="94"/>
    </row>
    <row r="24" ht="15.75" spans="1:14">
      <c r="A24" s="377" t="s">
        <v>40</v>
      </c>
      <c r="B24" s="374" t="s">
        <v>81</v>
      </c>
      <c r="C24" s="378"/>
      <c r="D24" s="378"/>
      <c r="E24" s="371">
        <f t="shared" si="8"/>
        <v>180318458.42</v>
      </c>
      <c r="F24" s="379">
        <f>SUM(F25:F26)</f>
        <v>33079114.26</v>
      </c>
      <c r="G24" s="379">
        <f t="shared" ref="G24:J24" si="13">SUM(G25:G26)</f>
        <v>73619672.08</v>
      </c>
      <c r="H24" s="379">
        <f t="shared" si="13"/>
        <v>73619672.08</v>
      </c>
      <c r="I24" s="379">
        <f t="shared" si="13"/>
        <v>0</v>
      </c>
      <c r="J24" s="379">
        <f t="shared" si="13"/>
        <v>0</v>
      </c>
      <c r="K24" s="414" t="s">
        <v>10</v>
      </c>
      <c r="L24" s="94"/>
      <c r="M24" s="94"/>
      <c r="N24" s="94"/>
    </row>
    <row r="25" ht="15.75" spans="1:11">
      <c r="A25" s="380"/>
      <c r="B25" s="374"/>
      <c r="C25" s="378"/>
      <c r="D25" s="378"/>
      <c r="E25" s="371">
        <f t="shared" si="8"/>
        <v>174908904.67</v>
      </c>
      <c r="F25" s="381">
        <f>F27+F28</f>
        <v>32086740.83</v>
      </c>
      <c r="G25" s="381">
        <f>G27+G28</f>
        <v>71411081.92</v>
      </c>
      <c r="H25" s="381">
        <f>H27+H28</f>
        <v>71411081.92</v>
      </c>
      <c r="I25" s="381">
        <f>I27+I28</f>
        <v>0</v>
      </c>
      <c r="J25" s="381">
        <f>J27+J28</f>
        <v>0</v>
      </c>
      <c r="K25" s="414" t="s">
        <v>15</v>
      </c>
    </row>
    <row r="26" ht="15.75" spans="1:11">
      <c r="A26" s="380"/>
      <c r="B26" s="374"/>
      <c r="C26" s="378"/>
      <c r="D26" s="378"/>
      <c r="E26" s="371">
        <f t="shared" si="8"/>
        <v>5409553.75</v>
      </c>
      <c r="F26" s="381">
        <f>F29+F30</f>
        <v>992373.43</v>
      </c>
      <c r="G26" s="381">
        <f>G29+G30</f>
        <v>2208590.16</v>
      </c>
      <c r="H26" s="381">
        <f>H29+H30</f>
        <v>2208590.16</v>
      </c>
      <c r="I26" s="381">
        <f>I29+I30</f>
        <v>0</v>
      </c>
      <c r="J26" s="381">
        <f>J29+J30</f>
        <v>0</v>
      </c>
      <c r="K26" s="414" t="s">
        <v>16</v>
      </c>
    </row>
    <row r="27" ht="15.75" spans="1:11">
      <c r="A27" s="377" t="s">
        <v>42</v>
      </c>
      <c r="B27" s="374" t="s">
        <v>43</v>
      </c>
      <c r="C27" s="27"/>
      <c r="D27" s="27"/>
      <c r="E27" s="371">
        <f t="shared" si="8"/>
        <v>166009963.37</v>
      </c>
      <c r="F27" s="28">
        <f>26400000-3212200.47</f>
        <v>23187799.53</v>
      </c>
      <c r="G27" s="28">
        <v>71411081.92</v>
      </c>
      <c r="H27" s="28">
        <v>71411081.92</v>
      </c>
      <c r="I27" s="28">
        <v>0</v>
      </c>
      <c r="J27" s="28">
        <v>0</v>
      </c>
      <c r="K27" s="64" t="s">
        <v>23</v>
      </c>
    </row>
    <row r="28" ht="15.75" spans="1:11">
      <c r="A28" s="380"/>
      <c r="B28" s="374"/>
      <c r="C28" s="27"/>
      <c r="D28" s="27"/>
      <c r="E28" s="371">
        <f t="shared" si="8"/>
        <v>8898941.3</v>
      </c>
      <c r="F28" s="28">
        <f>5686740.83+3212200.47</f>
        <v>8898941.3</v>
      </c>
      <c r="G28" s="28">
        <v>0</v>
      </c>
      <c r="H28" s="28">
        <v>0</v>
      </c>
      <c r="I28" s="28">
        <v>0</v>
      </c>
      <c r="J28" s="28">
        <v>0</v>
      </c>
      <c r="K28" s="64" t="s">
        <v>24</v>
      </c>
    </row>
    <row r="29" ht="15.75" spans="1:11">
      <c r="A29" s="380"/>
      <c r="B29" s="374"/>
      <c r="C29" s="27"/>
      <c r="D29" s="27"/>
      <c r="E29" s="371">
        <f t="shared" si="8"/>
        <v>5134328.76</v>
      </c>
      <c r="F29" s="28">
        <f>816494.85-99346.41</f>
        <v>717148.44</v>
      </c>
      <c r="G29" s="28">
        <v>2208590.16</v>
      </c>
      <c r="H29" s="28">
        <v>2208590.16</v>
      </c>
      <c r="I29" s="28">
        <v>0</v>
      </c>
      <c r="J29" s="28">
        <v>0</v>
      </c>
      <c r="K29" s="64" t="s">
        <v>44</v>
      </c>
    </row>
    <row r="30" ht="15.75" spans="1:11">
      <c r="A30" s="380"/>
      <c r="B30" s="374"/>
      <c r="C30" s="27"/>
      <c r="D30" s="27"/>
      <c r="E30" s="371">
        <f t="shared" si="8"/>
        <v>275224.99</v>
      </c>
      <c r="F30" s="28">
        <f>175878.58+99346.41</f>
        <v>275224.99</v>
      </c>
      <c r="G30" s="28">
        <v>0</v>
      </c>
      <c r="H30" s="28">
        <v>0</v>
      </c>
      <c r="I30" s="28">
        <v>0</v>
      </c>
      <c r="J30" s="28">
        <v>0</v>
      </c>
      <c r="K30" s="64" t="s">
        <v>45</v>
      </c>
    </row>
    <row r="31" ht="15.75" customHeight="1" spans="1:11">
      <c r="A31" s="377" t="s">
        <v>48</v>
      </c>
      <c r="B31" s="382" t="s">
        <v>82</v>
      </c>
      <c r="C31" s="383"/>
      <c r="D31" s="383"/>
      <c r="E31" s="371">
        <f t="shared" si="8"/>
        <v>85675032.4</v>
      </c>
      <c r="F31" s="384">
        <f>SUM(F32:F33)</f>
        <v>85675032.4</v>
      </c>
      <c r="G31" s="384">
        <f t="shared" ref="G31:J31" si="14">SUM(G32:G33)</f>
        <v>0</v>
      </c>
      <c r="H31" s="384">
        <f t="shared" si="14"/>
        <v>0</v>
      </c>
      <c r="I31" s="384">
        <f t="shared" si="14"/>
        <v>0</v>
      </c>
      <c r="J31" s="384">
        <f t="shared" si="14"/>
        <v>0</v>
      </c>
      <c r="K31" s="415" t="s">
        <v>50</v>
      </c>
    </row>
    <row r="32" ht="15.75" spans="1:11">
      <c r="A32" s="380"/>
      <c r="B32" s="385"/>
      <c r="C32" s="383"/>
      <c r="D32" s="383"/>
      <c r="E32" s="371">
        <f t="shared" si="8"/>
        <v>84818282.07</v>
      </c>
      <c r="F32" s="386">
        <v>84818282.07</v>
      </c>
      <c r="G32" s="386">
        <v>0</v>
      </c>
      <c r="H32" s="386">
        <v>0</v>
      </c>
      <c r="I32" s="386">
        <v>0</v>
      </c>
      <c r="J32" s="386">
        <v>0</v>
      </c>
      <c r="K32" s="415" t="s">
        <v>20</v>
      </c>
    </row>
    <row r="33" ht="21" customHeight="1" spans="1:11">
      <c r="A33" s="380"/>
      <c r="B33" s="385"/>
      <c r="C33" s="383"/>
      <c r="D33" s="383"/>
      <c r="E33" s="371">
        <f t="shared" si="8"/>
        <v>856750.33</v>
      </c>
      <c r="F33" s="386">
        <v>856750.33</v>
      </c>
      <c r="G33" s="386">
        <v>0</v>
      </c>
      <c r="H33" s="386">
        <v>0</v>
      </c>
      <c r="I33" s="386">
        <v>0</v>
      </c>
      <c r="J33" s="386">
        <v>0</v>
      </c>
      <c r="K33" s="415" t="s">
        <v>44</v>
      </c>
    </row>
    <row r="34" s="1" customFormat="1" ht="15.75" spans="1:11">
      <c r="A34" s="377" t="s">
        <v>83</v>
      </c>
      <c r="B34" s="382" t="s">
        <v>84</v>
      </c>
      <c r="C34" s="357"/>
      <c r="D34" s="357"/>
      <c r="E34" s="371">
        <f t="shared" si="8"/>
        <v>4623993.08</v>
      </c>
      <c r="F34" s="386">
        <f>F36+F35+F37</f>
        <v>2498387.88</v>
      </c>
      <c r="G34" s="386">
        <f>G36+G35</f>
        <v>1062802.6</v>
      </c>
      <c r="H34" s="386">
        <f>H36+H35</f>
        <v>1062802.6</v>
      </c>
      <c r="I34" s="386">
        <f>I36+I35</f>
        <v>0</v>
      </c>
      <c r="J34" s="386">
        <f>J36+J35</f>
        <v>0</v>
      </c>
      <c r="K34" s="416" t="s">
        <v>13</v>
      </c>
    </row>
    <row r="35" s="1" customFormat="1" ht="15.75" spans="1:11">
      <c r="A35" s="380"/>
      <c r="B35" s="385"/>
      <c r="C35" s="357"/>
      <c r="D35" s="357"/>
      <c r="E35" s="371">
        <f t="shared" si="8"/>
        <v>1800387.88</v>
      </c>
      <c r="F35" s="386">
        <f>900387.88+900000</f>
        <v>1800387.88</v>
      </c>
      <c r="G35" s="386">
        <v>0</v>
      </c>
      <c r="H35" s="386">
        <v>0</v>
      </c>
      <c r="I35" s="386">
        <v>0</v>
      </c>
      <c r="J35" s="386">
        <v>0</v>
      </c>
      <c r="K35" s="415" t="s">
        <v>29</v>
      </c>
    </row>
    <row r="36" s="1" customFormat="1" ht="15.75" spans="1:11">
      <c r="A36" s="380"/>
      <c r="B36" s="385"/>
      <c r="C36" s="357"/>
      <c r="D36" s="357"/>
      <c r="E36" s="371">
        <f t="shared" si="8"/>
        <v>2225605.2</v>
      </c>
      <c r="F36" s="386">
        <f>1000000-900000</f>
        <v>100000</v>
      </c>
      <c r="G36" s="386">
        <f>1069506.14-6703.54</f>
        <v>1062802.6</v>
      </c>
      <c r="H36" s="386">
        <f>1271892.85-209090.25</f>
        <v>1062802.6</v>
      </c>
      <c r="I36" s="386">
        <v>0</v>
      </c>
      <c r="J36" s="386">
        <v>0</v>
      </c>
      <c r="K36" s="415" t="s">
        <v>30</v>
      </c>
    </row>
    <row r="37" s="1" customFormat="1" ht="15.75" spans="1:11">
      <c r="A37" s="380"/>
      <c r="B37" s="385"/>
      <c r="C37" s="357"/>
      <c r="D37" s="357"/>
      <c r="E37" s="371">
        <f t="shared" si="8"/>
        <v>598000</v>
      </c>
      <c r="F37" s="386">
        <v>598000</v>
      </c>
      <c r="G37" s="386">
        <v>0</v>
      </c>
      <c r="H37" s="386">
        <v>0</v>
      </c>
      <c r="I37" s="386">
        <v>0</v>
      </c>
      <c r="J37" s="386">
        <v>0</v>
      </c>
      <c r="K37" s="415" t="s">
        <v>101</v>
      </c>
    </row>
    <row r="38" ht="18.75" spans="1:11">
      <c r="A38" s="315" t="s">
        <v>55</v>
      </c>
      <c r="B38" s="367" t="s">
        <v>56</v>
      </c>
      <c r="C38" s="367"/>
      <c r="D38" s="367"/>
      <c r="E38" s="367"/>
      <c r="F38" s="367"/>
      <c r="G38" s="367"/>
      <c r="H38" s="367"/>
      <c r="I38" s="367"/>
      <c r="J38" s="367"/>
      <c r="K38" s="367"/>
    </row>
    <row r="39" ht="15.75" spans="1:11">
      <c r="A39" s="387" t="s">
        <v>57</v>
      </c>
      <c r="B39" s="388" t="s">
        <v>85</v>
      </c>
      <c r="C39" s="389"/>
      <c r="D39" s="389"/>
      <c r="E39" s="390">
        <f t="shared" si="8"/>
        <v>12121212.12</v>
      </c>
      <c r="F39" s="391">
        <f>F40+F41</f>
        <v>12121212.12</v>
      </c>
      <c r="G39" s="391">
        <f t="shared" ref="G39:J39" si="15">G40+G41</f>
        <v>0</v>
      </c>
      <c r="H39" s="391">
        <f t="shared" si="15"/>
        <v>0</v>
      </c>
      <c r="I39" s="391">
        <f t="shared" si="15"/>
        <v>0</v>
      </c>
      <c r="J39" s="391">
        <f t="shared" si="15"/>
        <v>0</v>
      </c>
      <c r="K39" s="418" t="s">
        <v>10</v>
      </c>
    </row>
    <row r="40" ht="15.75" spans="1:11">
      <c r="A40" s="392"/>
      <c r="B40" s="388"/>
      <c r="C40" s="389"/>
      <c r="D40" s="389"/>
      <c r="E40" s="390">
        <f t="shared" si="8"/>
        <v>12000000</v>
      </c>
      <c r="F40" s="391">
        <f>F42+F43</f>
        <v>12000000</v>
      </c>
      <c r="G40" s="391">
        <f t="shared" ref="G40:J40" si="16">G42+G43</f>
        <v>0</v>
      </c>
      <c r="H40" s="391">
        <f t="shared" si="16"/>
        <v>0</v>
      </c>
      <c r="I40" s="391">
        <f t="shared" si="16"/>
        <v>0</v>
      </c>
      <c r="J40" s="391">
        <f t="shared" si="16"/>
        <v>0</v>
      </c>
      <c r="K40" s="418" t="s">
        <v>15</v>
      </c>
    </row>
    <row r="41" ht="15.75" spans="1:11">
      <c r="A41" s="392"/>
      <c r="B41" s="388"/>
      <c r="C41" s="389"/>
      <c r="D41" s="389"/>
      <c r="E41" s="390">
        <f t="shared" si="8"/>
        <v>121212.12</v>
      </c>
      <c r="F41" s="391">
        <f>F44+F45</f>
        <v>121212.12</v>
      </c>
      <c r="G41" s="391">
        <f t="shared" ref="G41:J41" si="17">G44+G45</f>
        <v>0</v>
      </c>
      <c r="H41" s="391">
        <f t="shared" si="17"/>
        <v>0</v>
      </c>
      <c r="I41" s="391">
        <f t="shared" si="17"/>
        <v>0</v>
      </c>
      <c r="J41" s="391">
        <f t="shared" si="17"/>
        <v>0</v>
      </c>
      <c r="K41" s="418" t="s">
        <v>16</v>
      </c>
    </row>
    <row r="42" ht="15.75" spans="1:11">
      <c r="A42" s="393" t="s">
        <v>59</v>
      </c>
      <c r="B42" s="394" t="s">
        <v>86</v>
      </c>
      <c r="C42" s="27"/>
      <c r="D42" s="27"/>
      <c r="E42" s="390">
        <f t="shared" si="8"/>
        <v>12000000</v>
      </c>
      <c r="F42" s="28">
        <v>12000000</v>
      </c>
      <c r="G42" s="28">
        <v>0</v>
      </c>
      <c r="H42" s="28">
        <v>0</v>
      </c>
      <c r="I42" s="28">
        <v>0</v>
      </c>
      <c r="J42" s="28">
        <v>0</v>
      </c>
      <c r="K42" s="411" t="s">
        <v>65</v>
      </c>
    </row>
    <row r="43" ht="15.75" spans="1:11">
      <c r="A43" s="393"/>
      <c r="B43" s="394"/>
      <c r="C43" s="27"/>
      <c r="D43" s="27"/>
      <c r="E43" s="390">
        <f t="shared" si="8"/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412" t="s">
        <v>67</v>
      </c>
    </row>
    <row r="44" ht="15.75" spans="1:11">
      <c r="A44" s="393"/>
      <c r="B44" s="394"/>
      <c r="C44" s="27"/>
      <c r="D44" s="27"/>
      <c r="E44" s="390">
        <f t="shared" si="8"/>
        <v>121212.12</v>
      </c>
      <c r="F44" s="28">
        <v>121212.12</v>
      </c>
      <c r="G44" s="28">
        <v>0</v>
      </c>
      <c r="H44" s="28">
        <v>0</v>
      </c>
      <c r="I44" s="28">
        <v>0</v>
      </c>
      <c r="J44" s="28">
        <v>0</v>
      </c>
      <c r="K44" s="411" t="s">
        <v>44</v>
      </c>
    </row>
    <row r="45" ht="15.75" spans="1:11">
      <c r="A45" s="393"/>
      <c r="B45" s="395"/>
      <c r="C45" s="27"/>
      <c r="D45" s="27"/>
      <c r="E45" s="390">
        <f t="shared" si="8"/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412" t="s">
        <v>45</v>
      </c>
    </row>
    <row r="46" ht="18.75" customHeight="1" spans="1:11">
      <c r="A46" s="396" t="s">
        <v>70</v>
      </c>
      <c r="B46" s="396"/>
      <c r="C46" s="396"/>
      <c r="D46" s="517"/>
      <c r="E46" s="279">
        <f t="shared" ref="E46:E50" si="18">SUM(F46:J46)</f>
        <v>487780114.3</v>
      </c>
      <c r="F46" s="279">
        <f>F47+F48+F49+F50</f>
        <v>297937823.24</v>
      </c>
      <c r="G46" s="279">
        <f t="shared" ref="G46:J46" si="19">G47+G48+G49+G50</f>
        <v>115159816.38</v>
      </c>
      <c r="H46" s="279">
        <f t="shared" si="19"/>
        <v>74682474.68</v>
      </c>
      <c r="I46" s="279">
        <f t="shared" si="19"/>
        <v>0</v>
      </c>
      <c r="J46" s="279">
        <f t="shared" si="19"/>
        <v>0</v>
      </c>
      <c r="K46" s="340"/>
    </row>
    <row r="47" ht="18.75" spans="1:11">
      <c r="A47" s="399"/>
      <c r="B47" s="399"/>
      <c r="C47" s="399"/>
      <c r="D47" s="518"/>
      <c r="E47" s="279">
        <f t="shared" si="18"/>
        <v>265766855.39</v>
      </c>
      <c r="F47" s="280">
        <f>F4+F20</f>
        <v>226297399.5</v>
      </c>
      <c r="G47" s="280">
        <f>G4+G20</f>
        <v>39469455.89</v>
      </c>
      <c r="H47" s="280">
        <f>H4+H20</f>
        <v>0</v>
      </c>
      <c r="I47" s="280">
        <f>I4+I20</f>
        <v>0</v>
      </c>
      <c r="J47" s="280">
        <f>J4+J20</f>
        <v>0</v>
      </c>
      <c r="K47" s="420" t="s">
        <v>14</v>
      </c>
    </row>
    <row r="48" ht="18.75" spans="1:11">
      <c r="A48" s="399"/>
      <c r="B48" s="399"/>
      <c r="C48" s="399"/>
      <c r="D48" s="518"/>
      <c r="E48" s="279">
        <f t="shared" si="18"/>
        <v>188438467.39</v>
      </c>
      <c r="F48" s="280">
        <f t="shared" ref="F48:J49" si="20">F5+F21+F40</f>
        <v>44810804.45</v>
      </c>
      <c r="G48" s="280">
        <f t="shared" si="20"/>
        <v>72216581.02</v>
      </c>
      <c r="H48" s="280">
        <f t="shared" si="20"/>
        <v>71411081.92</v>
      </c>
      <c r="I48" s="280">
        <f t="shared" si="20"/>
        <v>0</v>
      </c>
      <c r="J48" s="280">
        <f t="shared" si="20"/>
        <v>0</v>
      </c>
      <c r="K48" s="420" t="s">
        <v>71</v>
      </c>
    </row>
    <row r="49" ht="18.75" customHeight="1" spans="1:11">
      <c r="A49" s="399"/>
      <c r="B49" s="399"/>
      <c r="C49" s="399"/>
      <c r="D49" s="518"/>
      <c r="E49" s="279">
        <f t="shared" si="18"/>
        <v>6771828.44</v>
      </c>
      <c r="F49" s="280">
        <f t="shared" si="20"/>
        <v>2152261.41</v>
      </c>
      <c r="G49" s="280">
        <f t="shared" si="20"/>
        <v>2410976.87</v>
      </c>
      <c r="H49" s="280">
        <f t="shared" si="20"/>
        <v>2208590.16</v>
      </c>
      <c r="I49" s="280">
        <f t="shared" si="20"/>
        <v>0</v>
      </c>
      <c r="J49" s="280">
        <f t="shared" si="20"/>
        <v>0</v>
      </c>
      <c r="K49" s="287" t="s">
        <v>16</v>
      </c>
    </row>
    <row r="50" ht="18.75" customHeight="1" spans="1:11">
      <c r="A50" s="402"/>
      <c r="B50" s="402"/>
      <c r="C50" s="402"/>
      <c r="D50" s="519"/>
      <c r="E50" s="279">
        <f t="shared" si="18"/>
        <v>26802963.08</v>
      </c>
      <c r="F50" s="282">
        <f>F23+F7</f>
        <v>24677357.88</v>
      </c>
      <c r="G50" s="282">
        <f t="shared" ref="G50:J50" si="21">G23</f>
        <v>1062802.6</v>
      </c>
      <c r="H50" s="282">
        <f t="shared" si="21"/>
        <v>1062802.6</v>
      </c>
      <c r="I50" s="282">
        <f t="shared" si="21"/>
        <v>0</v>
      </c>
      <c r="J50" s="282">
        <f t="shared" si="21"/>
        <v>0</v>
      </c>
      <c r="K50" s="287" t="s">
        <v>73</v>
      </c>
    </row>
    <row r="51" ht="18.75" spans="1:11">
      <c r="A51" s="284" t="s">
        <v>100</v>
      </c>
      <c r="B51" s="284"/>
      <c r="C51" s="284"/>
      <c r="D51" s="284"/>
      <c r="E51" s="323"/>
      <c r="F51" s="323"/>
      <c r="G51" s="323"/>
      <c r="H51" s="323"/>
      <c r="I51" s="323"/>
      <c r="J51" s="323"/>
      <c r="K51" s="340"/>
    </row>
    <row r="52" ht="15.75" spans="2:11">
      <c r="B52" s="467"/>
      <c r="C52" s="467"/>
      <c r="D52" s="467"/>
      <c r="J52" s="479"/>
      <c r="K52" s="479"/>
    </row>
    <row r="53" ht="15.75" spans="9:11">
      <c r="I53" s="3" t="s">
        <v>87</v>
      </c>
      <c r="J53" s="480"/>
      <c r="K53" s="480">
        <v>178063747.64</v>
      </c>
    </row>
    <row r="54" s="1" customFormat="1" ht="15.75" spans="1:11">
      <c r="A54" s="3"/>
      <c r="B54" s="3"/>
      <c r="C54" s="3"/>
      <c r="D54" s="3"/>
      <c r="E54" s="3"/>
      <c r="F54" s="3"/>
      <c r="G54" s="3"/>
      <c r="H54" s="3"/>
      <c r="I54" s="3" t="s">
        <v>88</v>
      </c>
      <c r="J54" s="480"/>
      <c r="K54" s="480">
        <v>506829756.46</v>
      </c>
    </row>
    <row r="55" s="1" customFormat="1" ht="15.75" spans="1:11">
      <c r="A55" s="3"/>
      <c r="B55" s="3"/>
      <c r="C55" s="3"/>
      <c r="D55" s="3"/>
      <c r="E55" s="3"/>
      <c r="F55" s="3"/>
      <c r="G55" s="3"/>
      <c r="H55" s="3"/>
      <c r="I55" s="3"/>
      <c r="J55" s="480"/>
      <c r="K55" s="481">
        <f>E46+K53+K54</f>
        <v>1172673618.4</v>
      </c>
    </row>
    <row r="56" s="1" customFormat="1" ht="15.75" spans="1:11">
      <c r="A56" s="3"/>
      <c r="B56" s="3"/>
      <c r="C56" s="3"/>
      <c r="D56" s="3"/>
      <c r="E56" s="3"/>
      <c r="F56" s="3"/>
      <c r="G56" s="3"/>
      <c r="H56" s="3"/>
      <c r="I56" s="3"/>
      <c r="J56" s="480"/>
      <c r="K56" s="480"/>
    </row>
    <row r="57" s="1" customFormat="1" ht="15.75" spans="1:11">
      <c r="A57" s="3"/>
      <c r="B57" s="3"/>
      <c r="C57" s="3"/>
      <c r="D57" s="3"/>
      <c r="E57" s="3"/>
      <c r="F57" s="3"/>
      <c r="G57" s="3"/>
      <c r="H57" s="3"/>
      <c r="I57" s="3"/>
      <c r="J57" s="480"/>
      <c r="K57" s="480"/>
    </row>
    <row r="58" s="1" customFormat="1" ht="15.75" spans="1:11">
      <c r="A58" s="3"/>
      <c r="B58" s="3"/>
      <c r="C58" s="3"/>
      <c r="D58" s="3"/>
      <c r="E58" s="3"/>
      <c r="F58" s="3"/>
      <c r="G58" s="3"/>
      <c r="H58" s="3"/>
      <c r="I58" s="3"/>
      <c r="J58" s="480"/>
      <c r="K58" s="480"/>
    </row>
  </sheetData>
  <mergeCells count="23">
    <mergeCell ref="B18:K18"/>
    <mergeCell ref="B38:K38"/>
    <mergeCell ref="A51:D51"/>
    <mergeCell ref="A3:A6"/>
    <mergeCell ref="A8:A14"/>
    <mergeCell ref="A15:A17"/>
    <mergeCell ref="A19:A23"/>
    <mergeCell ref="A24:A26"/>
    <mergeCell ref="A27:A30"/>
    <mergeCell ref="A31:A33"/>
    <mergeCell ref="A34:A37"/>
    <mergeCell ref="A39:A41"/>
    <mergeCell ref="A42:A45"/>
    <mergeCell ref="B3:B6"/>
    <mergeCell ref="B8:B14"/>
    <mergeCell ref="B15:B17"/>
    <mergeCell ref="B19:B23"/>
    <mergeCell ref="B24:B26"/>
    <mergeCell ref="B27:B30"/>
    <mergeCell ref="B31:B33"/>
    <mergeCell ref="B34:B37"/>
    <mergeCell ref="B39:B41"/>
    <mergeCell ref="B42:B45"/>
  </mergeCells>
  <pageMargins left="0.118110236220472" right="0.118110236220472" top="0.15748031496063" bottom="0.15748031496063" header="0.31496062992126" footer="0.31496062992126"/>
  <pageSetup paperSize="9" scale="75" fitToHeight="0" orientation="portrait" blackAndWhite="1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5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12.1428571428571" style="3" hidden="1" customWidth="1"/>
    <col min="4" max="4" width="45.4285714285714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8" width="14.2857142857143" style="3" customWidth="1"/>
    <col min="9" max="9" width="9.71428571428571" style="3" customWidth="1"/>
    <col min="10" max="10" width="7" style="3" customWidth="1"/>
    <col min="11" max="11" width="17.2857142857143" style="4" customWidth="1"/>
    <col min="12" max="12" width="18.5714285714286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21" spans="1:11">
      <c r="A1" s="483" t="s">
        <v>0</v>
      </c>
      <c r="B1" s="484" t="s">
        <v>1</v>
      </c>
      <c r="C1" s="484" t="s">
        <v>2</v>
      </c>
      <c r="D1" s="484" t="s">
        <v>3</v>
      </c>
      <c r="E1" s="484" t="s">
        <v>4</v>
      </c>
      <c r="F1" s="485">
        <v>2023</v>
      </c>
      <c r="G1" s="485">
        <v>2024</v>
      </c>
      <c r="H1" s="486">
        <v>2025</v>
      </c>
      <c r="I1" s="485">
        <v>2026</v>
      </c>
      <c r="J1" s="485">
        <v>2027</v>
      </c>
      <c r="K1" s="468" t="s">
        <v>102</v>
      </c>
    </row>
    <row r="2" s="1" customFormat="1" ht="19.5" spans="1:12">
      <c r="A2" s="427" t="s">
        <v>6</v>
      </c>
      <c r="B2" s="487" t="s">
        <v>7</v>
      </c>
      <c r="C2" s="429"/>
      <c r="D2" s="429"/>
      <c r="E2" s="429"/>
      <c r="F2" s="430"/>
      <c r="G2" s="430"/>
      <c r="H2" s="429"/>
      <c r="I2" s="430"/>
      <c r="J2" s="430"/>
      <c r="K2" s="469"/>
      <c r="L2" s="85"/>
    </row>
    <row r="3" s="1" customFormat="1" ht="15.75" spans="1:12">
      <c r="A3" s="350" t="s">
        <v>8</v>
      </c>
      <c r="B3" s="351" t="s">
        <v>77</v>
      </c>
      <c r="C3" s="352"/>
      <c r="D3" s="352"/>
      <c r="E3" s="353">
        <f>F3+G3+H3+I3+J3</f>
        <v>205041418.28</v>
      </c>
      <c r="F3" s="354">
        <f>SUM(F4:F7)</f>
        <v>164564076.58</v>
      </c>
      <c r="G3" s="354">
        <f>SUM(G4:G7)</f>
        <v>40477341.7</v>
      </c>
      <c r="H3" s="354">
        <f>SUM(H4:H7)</f>
        <v>0</v>
      </c>
      <c r="I3" s="354">
        <f>SUM(I4:I7)</f>
        <v>0</v>
      </c>
      <c r="J3" s="354">
        <f>SUM(J4:J7)</f>
        <v>0</v>
      </c>
      <c r="K3" s="408" t="s">
        <v>13</v>
      </c>
      <c r="L3" s="85"/>
    </row>
    <row r="4" s="1" customFormat="1" ht="15.75" spans="1:12">
      <c r="A4" s="355"/>
      <c r="B4" s="352"/>
      <c r="C4" s="352"/>
      <c r="D4" s="352"/>
      <c r="E4" s="353">
        <f t="shared" ref="E4:E11" si="0">SUM(F4:J4)</f>
        <v>180948573.32</v>
      </c>
      <c r="F4" s="354">
        <f>F9+F10+F16</f>
        <v>141479117.43</v>
      </c>
      <c r="G4" s="354">
        <f t="shared" ref="G4:J4" si="1">G9+G10</f>
        <v>39469455.89</v>
      </c>
      <c r="H4" s="354">
        <f t="shared" si="1"/>
        <v>0</v>
      </c>
      <c r="I4" s="354">
        <f t="shared" si="1"/>
        <v>0</v>
      </c>
      <c r="J4" s="354">
        <f t="shared" si="1"/>
        <v>0</v>
      </c>
      <c r="K4" s="409" t="s">
        <v>78</v>
      </c>
      <c r="L4" s="85"/>
    </row>
    <row r="5" s="1" customFormat="1" ht="15.75" spans="1:12">
      <c r="A5" s="355"/>
      <c r="B5" s="352"/>
      <c r="C5" s="352"/>
      <c r="D5" s="352"/>
      <c r="E5" s="353">
        <f t="shared" si="0"/>
        <v>1529562.72</v>
      </c>
      <c r="F5" s="354">
        <f>F11+F12</f>
        <v>724063.62</v>
      </c>
      <c r="G5" s="354">
        <f t="shared" ref="G5:J5" si="2">G11+G12</f>
        <v>805499.1</v>
      </c>
      <c r="H5" s="354">
        <f t="shared" si="2"/>
        <v>0</v>
      </c>
      <c r="I5" s="354">
        <f t="shared" si="2"/>
        <v>0</v>
      </c>
      <c r="J5" s="354">
        <f t="shared" si="2"/>
        <v>0</v>
      </c>
      <c r="K5" s="409" t="s">
        <v>71</v>
      </c>
      <c r="L5" s="85"/>
    </row>
    <row r="6" s="1" customFormat="1" ht="15.75" spans="1:12">
      <c r="A6" s="355"/>
      <c r="B6" s="352"/>
      <c r="C6" s="352"/>
      <c r="D6" s="352"/>
      <c r="E6" s="353">
        <f t="shared" si="0"/>
        <v>384312.24</v>
      </c>
      <c r="F6" s="354">
        <f>F13+F14</f>
        <v>181925.53</v>
      </c>
      <c r="G6" s="354">
        <f t="shared" ref="G6:J6" si="3">G13+G14</f>
        <v>202386.71</v>
      </c>
      <c r="H6" s="354">
        <f t="shared" si="3"/>
        <v>0</v>
      </c>
      <c r="I6" s="354">
        <f t="shared" si="3"/>
        <v>0</v>
      </c>
      <c r="J6" s="354">
        <f t="shared" si="3"/>
        <v>0</v>
      </c>
      <c r="K6" s="409" t="s">
        <v>16</v>
      </c>
      <c r="L6" s="85"/>
    </row>
    <row r="7" s="1" customFormat="1" ht="16.5" spans="1:12">
      <c r="A7" s="355"/>
      <c r="B7" s="352"/>
      <c r="C7" s="352"/>
      <c r="D7" s="352"/>
      <c r="E7" s="353">
        <f t="shared" si="0"/>
        <v>22178970</v>
      </c>
      <c r="F7" s="354">
        <f>F17</f>
        <v>22178970</v>
      </c>
      <c r="G7" s="354">
        <f t="shared" ref="G7:J7" si="4">G17</f>
        <v>0</v>
      </c>
      <c r="H7" s="354">
        <f t="shared" si="4"/>
        <v>0</v>
      </c>
      <c r="I7" s="354">
        <f t="shared" si="4"/>
        <v>0</v>
      </c>
      <c r="J7" s="354">
        <f t="shared" si="4"/>
        <v>0</v>
      </c>
      <c r="K7" s="409" t="s">
        <v>73</v>
      </c>
      <c r="L7" s="85"/>
    </row>
    <row r="8" s="1" customFormat="1" ht="15.75" spans="1:12">
      <c r="A8" s="350" t="s">
        <v>11</v>
      </c>
      <c r="B8" s="356" t="s">
        <v>79</v>
      </c>
      <c r="C8" s="352"/>
      <c r="D8" s="352"/>
      <c r="E8" s="353">
        <f t="shared" si="0"/>
        <v>76862448.28</v>
      </c>
      <c r="F8" s="354">
        <f>F9+F10+F11+F12+F13+F14</f>
        <v>36385106.58</v>
      </c>
      <c r="G8" s="354">
        <f t="shared" ref="G8:J8" si="5">G9+G10+G11+G12+G13+G14</f>
        <v>40477341.7</v>
      </c>
      <c r="H8" s="354">
        <f t="shared" si="5"/>
        <v>0</v>
      </c>
      <c r="I8" s="354">
        <f t="shared" si="5"/>
        <v>0</v>
      </c>
      <c r="J8" s="354">
        <f t="shared" si="5"/>
        <v>0</v>
      </c>
      <c r="K8" s="408" t="s">
        <v>13</v>
      </c>
      <c r="L8" s="85"/>
    </row>
    <row r="9" s="1" customFormat="1" ht="15.75" spans="1:12">
      <c r="A9" s="355"/>
      <c r="B9" s="357"/>
      <c r="C9" s="357"/>
      <c r="D9" s="357"/>
      <c r="E9" s="353">
        <f t="shared" si="0"/>
        <v>35479117.43</v>
      </c>
      <c r="F9" s="358">
        <v>35479117.43</v>
      </c>
      <c r="G9" s="360">
        <v>0</v>
      </c>
      <c r="H9" s="360">
        <v>0</v>
      </c>
      <c r="I9" s="410">
        <v>0</v>
      </c>
      <c r="J9" s="410">
        <v>0</v>
      </c>
      <c r="K9" s="411" t="s">
        <v>20</v>
      </c>
      <c r="L9" s="85"/>
    </row>
    <row r="10" s="1" customFormat="1" ht="15.75" spans="1:12">
      <c r="A10" s="355"/>
      <c r="B10" s="357"/>
      <c r="C10" s="357"/>
      <c r="D10" s="357"/>
      <c r="E10" s="353">
        <f t="shared" si="0"/>
        <v>39469455.89</v>
      </c>
      <c r="F10" s="361">
        <v>0</v>
      </c>
      <c r="G10" s="361">
        <v>39469455.89</v>
      </c>
      <c r="H10" s="361">
        <v>0</v>
      </c>
      <c r="I10" s="361">
        <v>0</v>
      </c>
      <c r="J10" s="361">
        <v>0</v>
      </c>
      <c r="K10" s="412" t="s">
        <v>21</v>
      </c>
      <c r="L10" s="85"/>
    </row>
    <row r="11" s="1" customFormat="1" ht="15.75" spans="1:12">
      <c r="A11" s="355"/>
      <c r="B11" s="357"/>
      <c r="C11" s="357"/>
      <c r="D11" s="357"/>
      <c r="E11" s="353">
        <f t="shared" si="0"/>
        <v>724063.62</v>
      </c>
      <c r="F11" s="359">
        <v>724063.62</v>
      </c>
      <c r="G11" s="359">
        <v>0</v>
      </c>
      <c r="H11" s="359">
        <v>0</v>
      </c>
      <c r="I11" s="359">
        <v>0</v>
      </c>
      <c r="J11" s="359">
        <v>0</v>
      </c>
      <c r="K11" s="411" t="s">
        <v>23</v>
      </c>
      <c r="L11" s="85"/>
    </row>
    <row r="12" s="1" customFormat="1" ht="15.75" spans="1:12">
      <c r="A12" s="355"/>
      <c r="B12" s="357"/>
      <c r="C12" s="357"/>
      <c r="D12" s="357"/>
      <c r="E12" s="353">
        <f t="shared" ref="E12:E17" si="6">SUM(F12:J12)</f>
        <v>805499.1</v>
      </c>
      <c r="F12" s="361">
        <v>0</v>
      </c>
      <c r="G12" s="361">
        <v>805499.1</v>
      </c>
      <c r="H12" s="361">
        <v>0</v>
      </c>
      <c r="I12" s="361">
        <v>0</v>
      </c>
      <c r="J12" s="361">
        <v>0</v>
      </c>
      <c r="K12" s="412" t="s">
        <v>24</v>
      </c>
      <c r="L12" s="85"/>
    </row>
    <row r="13" s="1" customFormat="1" ht="15.75" spans="1:12">
      <c r="A13" s="355"/>
      <c r="B13" s="357"/>
      <c r="C13" s="357"/>
      <c r="D13" s="357"/>
      <c r="E13" s="353">
        <f t="shared" si="6"/>
        <v>181925.53</v>
      </c>
      <c r="F13" s="359">
        <v>181925.53</v>
      </c>
      <c r="G13" s="359">
        <v>0</v>
      </c>
      <c r="H13" s="359">
        <v>0</v>
      </c>
      <c r="I13" s="359">
        <v>0</v>
      </c>
      <c r="J13" s="359">
        <v>0</v>
      </c>
      <c r="K13" s="411" t="s">
        <v>26</v>
      </c>
      <c r="L13" s="85"/>
    </row>
    <row r="14" s="1" customFormat="1" ht="16.5" spans="1:12">
      <c r="A14" s="362"/>
      <c r="B14" s="363"/>
      <c r="C14" s="357"/>
      <c r="D14" s="357"/>
      <c r="E14" s="353">
        <f t="shared" si="6"/>
        <v>202386.71</v>
      </c>
      <c r="F14" s="361">
        <v>0</v>
      </c>
      <c r="G14" s="361">
        <v>202386.71</v>
      </c>
      <c r="H14" s="361">
        <v>0</v>
      </c>
      <c r="I14" s="361">
        <v>0</v>
      </c>
      <c r="J14" s="361">
        <v>0</v>
      </c>
      <c r="K14" s="412" t="s">
        <v>27</v>
      </c>
      <c r="L14" s="85"/>
    </row>
    <row r="15" s="1" customFormat="1" ht="15.75" spans="1:12">
      <c r="A15" s="350" t="s">
        <v>91</v>
      </c>
      <c r="B15" s="356" t="s">
        <v>92</v>
      </c>
      <c r="C15" s="357"/>
      <c r="D15" s="357"/>
      <c r="E15" s="353">
        <f t="shared" si="6"/>
        <v>128178970</v>
      </c>
      <c r="F15" s="361">
        <f>F17+F16</f>
        <v>128178970</v>
      </c>
      <c r="G15" s="361">
        <f>++G17</f>
        <v>0</v>
      </c>
      <c r="H15" s="361">
        <f>+H16</f>
        <v>0</v>
      </c>
      <c r="I15" s="361">
        <f t="shared" ref="I15:J15" si="7">+I16</f>
        <v>0</v>
      </c>
      <c r="J15" s="361">
        <f t="shared" si="7"/>
        <v>0</v>
      </c>
      <c r="K15" s="412" t="s">
        <v>13</v>
      </c>
      <c r="L15" s="85"/>
    </row>
    <row r="16" s="1" customFormat="1" ht="15.75" spans="1:12">
      <c r="A16" s="355"/>
      <c r="B16" s="357"/>
      <c r="C16" s="357"/>
      <c r="D16" s="357"/>
      <c r="E16" s="353">
        <f t="shared" si="6"/>
        <v>106000000</v>
      </c>
      <c r="F16" s="358">
        <v>106000000</v>
      </c>
      <c r="G16" s="358">
        <v>0</v>
      </c>
      <c r="H16" s="358">
        <v>0</v>
      </c>
      <c r="I16" s="358">
        <v>0</v>
      </c>
      <c r="J16" s="358">
        <v>0</v>
      </c>
      <c r="K16" s="411" t="s">
        <v>95</v>
      </c>
      <c r="L16" s="85"/>
    </row>
    <row r="17" s="1" customFormat="1" ht="38.25" customHeight="1" spans="1:12">
      <c r="A17" s="355"/>
      <c r="B17" s="364"/>
      <c r="C17" s="357"/>
      <c r="D17" s="357"/>
      <c r="E17" s="353">
        <f t="shared" si="6"/>
        <v>22178970</v>
      </c>
      <c r="F17" s="358">
        <f>22776970-598000</f>
        <v>22178970</v>
      </c>
      <c r="G17" s="358">
        <v>0</v>
      </c>
      <c r="H17" s="358">
        <v>0</v>
      </c>
      <c r="I17" s="358">
        <v>0</v>
      </c>
      <c r="J17" s="358">
        <v>0</v>
      </c>
      <c r="K17" s="411" t="s">
        <v>96</v>
      </c>
      <c r="L17" s="85"/>
    </row>
    <row r="18" ht="18.75" spans="1:11">
      <c r="A18" s="315" t="s">
        <v>36</v>
      </c>
      <c r="B18" s="367" t="s">
        <v>37</v>
      </c>
      <c r="C18" s="367"/>
      <c r="D18" s="367"/>
      <c r="E18" s="367"/>
      <c r="F18" s="367"/>
      <c r="G18" s="367"/>
      <c r="H18" s="367"/>
      <c r="I18" s="367"/>
      <c r="J18" s="367"/>
      <c r="K18" s="367"/>
    </row>
    <row r="19" ht="18.75" spans="1:12">
      <c r="A19" s="368" t="s">
        <v>38</v>
      </c>
      <c r="B19" s="369" t="s">
        <v>80</v>
      </c>
      <c r="C19" s="370"/>
      <c r="D19" s="370"/>
      <c r="E19" s="229">
        <f t="shared" ref="E19:E45" si="8">F19+G19+H19+I19+J19</f>
        <v>287675348.75</v>
      </c>
      <c r="F19" s="229">
        <f>F20+F21+F22+F23</f>
        <v>138310399.39</v>
      </c>
      <c r="G19" s="371">
        <f t="shared" ref="G19:J19" si="9">G20+G21+G22+G23</f>
        <v>74682474.68</v>
      </c>
      <c r="H19" s="371">
        <f t="shared" si="9"/>
        <v>74682474.68</v>
      </c>
      <c r="I19" s="371">
        <f t="shared" si="9"/>
        <v>0</v>
      </c>
      <c r="J19" s="371">
        <f t="shared" si="9"/>
        <v>0</v>
      </c>
      <c r="K19" s="413" t="s">
        <v>10</v>
      </c>
      <c r="L19" s="371">
        <f>L20+L21+L22+L23</f>
        <v>17057864.85</v>
      </c>
    </row>
    <row r="20" spans="1:12">
      <c r="A20" s="372"/>
      <c r="B20" s="373"/>
      <c r="C20" s="370"/>
      <c r="D20" s="370"/>
      <c r="E20" s="371">
        <f t="shared" si="8"/>
        <v>84818282.07</v>
      </c>
      <c r="F20" s="371">
        <f>F32</f>
        <v>84818282.07</v>
      </c>
      <c r="G20" s="371">
        <f t="shared" ref="G20:J20" si="10">G32</f>
        <v>0</v>
      </c>
      <c r="H20" s="371">
        <f t="shared" si="10"/>
        <v>0</v>
      </c>
      <c r="I20" s="371">
        <f t="shared" si="10"/>
        <v>0</v>
      </c>
      <c r="J20" s="371">
        <f t="shared" si="10"/>
        <v>0</v>
      </c>
      <c r="K20" s="371" t="s">
        <v>14</v>
      </c>
      <c r="L20" s="371">
        <f>L32</f>
        <v>0</v>
      </c>
    </row>
    <row r="21" spans="1:12">
      <c r="A21" s="372"/>
      <c r="B21" s="373"/>
      <c r="C21" s="374"/>
      <c r="D21" s="374"/>
      <c r="E21" s="371">
        <f t="shared" si="8"/>
        <v>174908904.67</v>
      </c>
      <c r="F21" s="371">
        <f>F25</f>
        <v>32086740.83</v>
      </c>
      <c r="G21" s="371">
        <f t="shared" ref="G21:J21" si="11">G25</f>
        <v>71411081.92</v>
      </c>
      <c r="H21" s="371">
        <f t="shared" si="11"/>
        <v>71411081.92</v>
      </c>
      <c r="I21" s="371">
        <f t="shared" si="11"/>
        <v>0</v>
      </c>
      <c r="J21" s="371">
        <f t="shared" si="11"/>
        <v>0</v>
      </c>
      <c r="K21" s="261" t="s">
        <v>15</v>
      </c>
      <c r="L21" s="371">
        <f>L25</f>
        <v>0</v>
      </c>
    </row>
    <row r="22" spans="1:14">
      <c r="A22" s="372"/>
      <c r="B22" s="373"/>
      <c r="C22" s="374"/>
      <c r="D22" s="374"/>
      <c r="E22" s="371">
        <f t="shared" si="8"/>
        <v>6266304.08</v>
      </c>
      <c r="F22" s="371">
        <f>F26+F33</f>
        <v>1849123.76</v>
      </c>
      <c r="G22" s="371">
        <f>G26+G33</f>
        <v>2208590.16</v>
      </c>
      <c r="H22" s="371">
        <f>H26+H33</f>
        <v>2208590.16</v>
      </c>
      <c r="I22" s="371">
        <f>I26+I33</f>
        <v>0</v>
      </c>
      <c r="J22" s="371">
        <f>J26+J33</f>
        <v>0</v>
      </c>
      <c r="K22" s="261" t="s">
        <v>16</v>
      </c>
      <c r="L22" s="371">
        <f>L26+L33</f>
        <v>0</v>
      </c>
      <c r="M22" s="94"/>
      <c r="N22" s="94"/>
    </row>
    <row r="23" spans="1:14">
      <c r="A23" s="375"/>
      <c r="B23" s="376"/>
      <c r="C23" s="374"/>
      <c r="D23" s="374"/>
      <c r="E23" s="229">
        <f t="shared" si="8"/>
        <v>21681857.93</v>
      </c>
      <c r="F23" s="229">
        <f>F34</f>
        <v>19556252.73</v>
      </c>
      <c r="G23" s="371">
        <f t="shared" ref="G23:J23" si="12">G34</f>
        <v>1062802.6</v>
      </c>
      <c r="H23" s="371">
        <f t="shared" si="12"/>
        <v>1062802.6</v>
      </c>
      <c r="I23" s="371">
        <f t="shared" si="12"/>
        <v>0</v>
      </c>
      <c r="J23" s="371">
        <f t="shared" si="12"/>
        <v>0</v>
      </c>
      <c r="K23" s="371" t="s">
        <v>17</v>
      </c>
      <c r="L23" s="371">
        <f>L34</f>
        <v>17057864.85</v>
      </c>
      <c r="M23" s="94"/>
      <c r="N23" s="94"/>
    </row>
    <row r="24" ht="15.75" spans="1:14">
      <c r="A24" s="377" t="s">
        <v>40</v>
      </c>
      <c r="B24" s="374" t="s">
        <v>81</v>
      </c>
      <c r="C24" s="378"/>
      <c r="D24" s="378"/>
      <c r="E24" s="371">
        <f t="shared" si="8"/>
        <v>180318458.42</v>
      </c>
      <c r="F24" s="379">
        <f>SUM(F25:F26)</f>
        <v>33079114.26</v>
      </c>
      <c r="G24" s="379">
        <f t="shared" ref="G24:J24" si="13">SUM(G25:G26)</f>
        <v>73619672.08</v>
      </c>
      <c r="H24" s="379">
        <f t="shared" si="13"/>
        <v>73619672.08</v>
      </c>
      <c r="I24" s="379">
        <f t="shared" si="13"/>
        <v>0</v>
      </c>
      <c r="J24" s="379">
        <f t="shared" si="13"/>
        <v>0</v>
      </c>
      <c r="K24" s="414" t="s">
        <v>10</v>
      </c>
      <c r="M24" s="94"/>
      <c r="N24" s="94"/>
    </row>
    <row r="25" ht="15.75" spans="1:11">
      <c r="A25" s="380"/>
      <c r="B25" s="374"/>
      <c r="C25" s="378"/>
      <c r="D25" s="378"/>
      <c r="E25" s="371">
        <f t="shared" si="8"/>
        <v>174908904.67</v>
      </c>
      <c r="F25" s="381">
        <f>F27+F28</f>
        <v>32086740.83</v>
      </c>
      <c r="G25" s="381">
        <f>G27+G28</f>
        <v>71411081.92</v>
      </c>
      <c r="H25" s="381">
        <f>H27+H28</f>
        <v>71411081.92</v>
      </c>
      <c r="I25" s="381">
        <f>I27+I28</f>
        <v>0</v>
      </c>
      <c r="J25" s="381">
        <f>J27+J28</f>
        <v>0</v>
      </c>
      <c r="K25" s="414" t="s">
        <v>15</v>
      </c>
    </row>
    <row r="26" ht="15.75" spans="1:11">
      <c r="A26" s="380"/>
      <c r="B26" s="374"/>
      <c r="C26" s="378"/>
      <c r="D26" s="378"/>
      <c r="E26" s="371">
        <f t="shared" si="8"/>
        <v>5409553.75</v>
      </c>
      <c r="F26" s="381">
        <f>F29+F30</f>
        <v>992373.43</v>
      </c>
      <c r="G26" s="381">
        <f>G29+G30</f>
        <v>2208590.16</v>
      </c>
      <c r="H26" s="381">
        <f>H29+H30</f>
        <v>2208590.16</v>
      </c>
      <c r="I26" s="381">
        <f>I29+I30</f>
        <v>0</v>
      </c>
      <c r="J26" s="381">
        <f>J29+J30</f>
        <v>0</v>
      </c>
      <c r="K26" s="414" t="s">
        <v>16</v>
      </c>
    </row>
    <row r="27" ht="15.75" spans="1:11">
      <c r="A27" s="377" t="s">
        <v>42</v>
      </c>
      <c r="B27" s="374" t="s">
        <v>43</v>
      </c>
      <c r="C27" s="27"/>
      <c r="D27" s="27"/>
      <c r="E27" s="371">
        <f t="shared" si="8"/>
        <v>166009963.37</v>
      </c>
      <c r="F27" s="28">
        <f>26400000-3212200.47</f>
        <v>23187799.53</v>
      </c>
      <c r="G27" s="28">
        <v>71411081.92</v>
      </c>
      <c r="H27" s="28">
        <v>71411081.92</v>
      </c>
      <c r="I27" s="28">
        <v>0</v>
      </c>
      <c r="J27" s="28">
        <v>0</v>
      </c>
      <c r="K27" s="64" t="s">
        <v>23</v>
      </c>
    </row>
    <row r="28" ht="15.75" spans="1:11">
      <c r="A28" s="380"/>
      <c r="B28" s="374"/>
      <c r="C28" s="27"/>
      <c r="D28" s="27"/>
      <c r="E28" s="371">
        <f t="shared" si="8"/>
        <v>8898941.3</v>
      </c>
      <c r="F28" s="28">
        <f>5686740.83+3212200.47</f>
        <v>8898941.3</v>
      </c>
      <c r="G28" s="28">
        <v>0</v>
      </c>
      <c r="H28" s="28">
        <v>0</v>
      </c>
      <c r="I28" s="28">
        <v>0</v>
      </c>
      <c r="J28" s="28">
        <v>0</v>
      </c>
      <c r="K28" s="64" t="s">
        <v>24</v>
      </c>
    </row>
    <row r="29" ht="15.75" spans="1:11">
      <c r="A29" s="380"/>
      <c r="B29" s="374"/>
      <c r="C29" s="27"/>
      <c r="D29" s="27"/>
      <c r="E29" s="371">
        <f t="shared" si="8"/>
        <v>5134328.76</v>
      </c>
      <c r="F29" s="28">
        <f>816494.85-99346.41</f>
        <v>717148.44</v>
      </c>
      <c r="G29" s="28">
        <v>2208590.16</v>
      </c>
      <c r="H29" s="28">
        <v>2208590.16</v>
      </c>
      <c r="I29" s="28">
        <v>0</v>
      </c>
      <c r="J29" s="28">
        <v>0</v>
      </c>
      <c r="K29" s="64" t="s">
        <v>44</v>
      </c>
    </row>
    <row r="30" ht="15.75" spans="1:11">
      <c r="A30" s="380"/>
      <c r="B30" s="374"/>
      <c r="C30" s="27"/>
      <c r="D30" s="27"/>
      <c r="E30" s="371">
        <f t="shared" si="8"/>
        <v>275224.99</v>
      </c>
      <c r="F30" s="28">
        <f>175878.58+99346.41</f>
        <v>275224.99</v>
      </c>
      <c r="G30" s="28">
        <v>0</v>
      </c>
      <c r="H30" s="28">
        <v>0</v>
      </c>
      <c r="I30" s="28">
        <v>0</v>
      </c>
      <c r="J30" s="28">
        <v>0</v>
      </c>
      <c r="K30" s="64" t="s">
        <v>45</v>
      </c>
    </row>
    <row r="31" ht="15.75" spans="1:11">
      <c r="A31" s="377" t="s">
        <v>48</v>
      </c>
      <c r="B31" s="382" t="s">
        <v>82</v>
      </c>
      <c r="C31" s="383"/>
      <c r="D31" s="383"/>
      <c r="E31" s="371">
        <f t="shared" si="8"/>
        <v>85675032.4</v>
      </c>
      <c r="F31" s="384">
        <f>SUM(F32:F33)</f>
        <v>85675032.4</v>
      </c>
      <c r="G31" s="384">
        <f t="shared" ref="G31:J31" si="14">SUM(G32:G33)</f>
        <v>0</v>
      </c>
      <c r="H31" s="384">
        <f t="shared" si="14"/>
        <v>0</v>
      </c>
      <c r="I31" s="384">
        <f t="shared" si="14"/>
        <v>0</v>
      </c>
      <c r="J31" s="384">
        <f t="shared" si="14"/>
        <v>0</v>
      </c>
      <c r="K31" s="415" t="s">
        <v>50</v>
      </c>
    </row>
    <row r="32" ht="15.75" spans="1:11">
      <c r="A32" s="380"/>
      <c r="B32" s="385"/>
      <c r="C32" s="383"/>
      <c r="D32" s="383"/>
      <c r="E32" s="371">
        <f t="shared" si="8"/>
        <v>84818282.07</v>
      </c>
      <c r="F32" s="386">
        <v>84818282.07</v>
      </c>
      <c r="G32" s="386">
        <v>0</v>
      </c>
      <c r="H32" s="386">
        <v>0</v>
      </c>
      <c r="I32" s="386">
        <v>0</v>
      </c>
      <c r="J32" s="386">
        <v>0</v>
      </c>
      <c r="K32" s="415" t="s">
        <v>20</v>
      </c>
    </row>
    <row r="33" ht="15.75" spans="1:11">
      <c r="A33" s="380"/>
      <c r="B33" s="385"/>
      <c r="C33" s="383"/>
      <c r="D33" s="383"/>
      <c r="E33" s="371">
        <f t="shared" si="8"/>
        <v>856750.33</v>
      </c>
      <c r="F33" s="386">
        <v>856750.33</v>
      </c>
      <c r="G33" s="386">
        <v>0</v>
      </c>
      <c r="H33" s="386">
        <v>0</v>
      </c>
      <c r="I33" s="386">
        <v>0</v>
      </c>
      <c r="J33" s="386">
        <v>0</v>
      </c>
      <c r="K33" s="415" t="s">
        <v>44</v>
      </c>
    </row>
    <row r="34" s="1" customFormat="1" ht="15.75" spans="1:12">
      <c r="A34" s="377" t="s">
        <v>83</v>
      </c>
      <c r="B34" s="382" t="s">
        <v>84</v>
      </c>
      <c r="C34" s="357"/>
      <c r="D34" s="357"/>
      <c r="E34" s="229">
        <f t="shared" si="8"/>
        <v>21681857.93</v>
      </c>
      <c r="F34" s="417">
        <f>F36+F35+F37</f>
        <v>19556252.73</v>
      </c>
      <c r="G34" s="386">
        <f>G36+G35</f>
        <v>1062802.6</v>
      </c>
      <c r="H34" s="386">
        <f>H36+H35</f>
        <v>1062802.6</v>
      </c>
      <c r="I34" s="386">
        <f>I36+I35</f>
        <v>0</v>
      </c>
      <c r="J34" s="386">
        <f>J36+J35</f>
        <v>0</v>
      </c>
      <c r="K34" s="416" t="s">
        <v>13</v>
      </c>
      <c r="L34" s="417">
        <f>L36+L35+L37</f>
        <v>17057864.85</v>
      </c>
    </row>
    <row r="35" s="1" customFormat="1" ht="15.75" spans="1:12">
      <c r="A35" s="380"/>
      <c r="B35" s="385"/>
      <c r="C35" s="357"/>
      <c r="D35" s="357"/>
      <c r="E35" s="229">
        <f t="shared" si="8"/>
        <v>14358252.73</v>
      </c>
      <c r="F35" s="417">
        <f>1800387.88+L35</f>
        <v>14358252.73</v>
      </c>
      <c r="G35" s="386">
        <v>0</v>
      </c>
      <c r="H35" s="386">
        <v>0</v>
      </c>
      <c r="I35" s="386">
        <v>0</v>
      </c>
      <c r="J35" s="386">
        <v>0</v>
      </c>
      <c r="K35" s="415" t="s">
        <v>29</v>
      </c>
      <c r="L35" s="85">
        <f>5500000+6500000+23484.85+75710.7+133771.91+324897.39</f>
        <v>12557864.85</v>
      </c>
    </row>
    <row r="36" s="1" customFormat="1" ht="15.75" spans="1:12">
      <c r="A36" s="380"/>
      <c r="B36" s="385"/>
      <c r="C36" s="357"/>
      <c r="D36" s="357"/>
      <c r="E36" s="229">
        <f t="shared" si="8"/>
        <v>6725605.2</v>
      </c>
      <c r="F36" s="417">
        <f>100000+L36</f>
        <v>4600000</v>
      </c>
      <c r="G36" s="386">
        <f>1069506.14-6703.54</f>
        <v>1062802.6</v>
      </c>
      <c r="H36" s="386">
        <f>1271892.85-209090.25</f>
        <v>1062802.6</v>
      </c>
      <c r="I36" s="386">
        <v>0</v>
      </c>
      <c r="J36" s="386">
        <v>0</v>
      </c>
      <c r="K36" s="415" t="s">
        <v>30</v>
      </c>
      <c r="L36" s="85">
        <v>4500000</v>
      </c>
    </row>
    <row r="37" s="1" customFormat="1" ht="15.75" spans="1:12">
      <c r="A37" s="380"/>
      <c r="B37" s="385"/>
      <c r="C37" s="357"/>
      <c r="D37" s="357"/>
      <c r="E37" s="371">
        <f t="shared" si="8"/>
        <v>598000</v>
      </c>
      <c r="F37" s="386">
        <v>598000</v>
      </c>
      <c r="G37" s="386">
        <v>0</v>
      </c>
      <c r="H37" s="386">
        <v>0</v>
      </c>
      <c r="I37" s="386">
        <v>0</v>
      </c>
      <c r="J37" s="386">
        <v>0</v>
      </c>
      <c r="K37" s="415" t="s">
        <v>101</v>
      </c>
      <c r="L37" s="85"/>
    </row>
    <row r="38" ht="18.75" spans="1:11">
      <c r="A38" s="315" t="s">
        <v>55</v>
      </c>
      <c r="B38" s="367" t="s">
        <v>56</v>
      </c>
      <c r="C38" s="367"/>
      <c r="D38" s="367"/>
      <c r="E38" s="367"/>
      <c r="F38" s="367"/>
      <c r="G38" s="367"/>
      <c r="H38" s="367"/>
      <c r="I38" s="367"/>
      <c r="J38" s="367"/>
      <c r="K38" s="367"/>
    </row>
    <row r="39" ht="15.75" spans="1:12">
      <c r="A39" s="387" t="s">
        <v>57</v>
      </c>
      <c r="B39" s="388" t="s">
        <v>85</v>
      </c>
      <c r="C39" s="389"/>
      <c r="D39" s="389"/>
      <c r="E39" s="488">
        <f t="shared" si="8"/>
        <v>9772726.79</v>
      </c>
      <c r="F39" s="419">
        <f>F40+F41</f>
        <v>9772726.79</v>
      </c>
      <c r="G39" s="391">
        <f t="shared" ref="G39:J39" si="15">G40+G41</f>
        <v>0</v>
      </c>
      <c r="H39" s="391">
        <f t="shared" si="15"/>
        <v>0</v>
      </c>
      <c r="I39" s="391">
        <f t="shared" si="15"/>
        <v>0</v>
      </c>
      <c r="J39" s="391">
        <f t="shared" si="15"/>
        <v>0</v>
      </c>
      <c r="K39" s="418" t="s">
        <v>10</v>
      </c>
      <c r="L39" s="419">
        <f>L40+L41</f>
        <v>-2348485.33</v>
      </c>
    </row>
    <row r="40" ht="15.75" spans="1:12">
      <c r="A40" s="392"/>
      <c r="B40" s="388"/>
      <c r="C40" s="389"/>
      <c r="D40" s="389"/>
      <c r="E40" s="488">
        <f t="shared" si="8"/>
        <v>9674999.52</v>
      </c>
      <c r="F40" s="419">
        <f>F42+F43</f>
        <v>9674999.52</v>
      </c>
      <c r="G40" s="391">
        <f t="shared" ref="G40:J40" si="16">G42+G43</f>
        <v>0</v>
      </c>
      <c r="H40" s="391">
        <f t="shared" si="16"/>
        <v>0</v>
      </c>
      <c r="I40" s="391">
        <f t="shared" si="16"/>
        <v>0</v>
      </c>
      <c r="J40" s="391">
        <f t="shared" si="16"/>
        <v>0</v>
      </c>
      <c r="K40" s="418" t="s">
        <v>15</v>
      </c>
      <c r="L40" s="419">
        <f>L42+L43</f>
        <v>-2325000.48</v>
      </c>
    </row>
    <row r="41" ht="15.75" spans="1:12">
      <c r="A41" s="392"/>
      <c r="B41" s="388"/>
      <c r="C41" s="389"/>
      <c r="D41" s="389"/>
      <c r="E41" s="488">
        <f t="shared" si="8"/>
        <v>97727.27</v>
      </c>
      <c r="F41" s="419">
        <f>F44+F45</f>
        <v>97727.27</v>
      </c>
      <c r="G41" s="391">
        <f t="shared" ref="G41:J41" si="17">G44+G45</f>
        <v>0</v>
      </c>
      <c r="H41" s="391">
        <f t="shared" si="17"/>
        <v>0</v>
      </c>
      <c r="I41" s="391">
        <f t="shared" si="17"/>
        <v>0</v>
      </c>
      <c r="J41" s="391">
        <f t="shared" si="17"/>
        <v>0</v>
      </c>
      <c r="K41" s="418" t="s">
        <v>16</v>
      </c>
      <c r="L41" s="419">
        <f>L44+L45</f>
        <v>-23484.85</v>
      </c>
    </row>
    <row r="42" ht="15.75" spans="1:12">
      <c r="A42" s="393" t="s">
        <v>59</v>
      </c>
      <c r="B42" s="394" t="s">
        <v>86</v>
      </c>
      <c r="C42" s="27"/>
      <c r="D42" s="27"/>
      <c r="E42" s="488">
        <f t="shared" si="8"/>
        <v>9674999.52</v>
      </c>
      <c r="F42" s="489">
        <f>12000000+L42</f>
        <v>9674999.52</v>
      </c>
      <c r="G42" s="28">
        <v>0</v>
      </c>
      <c r="H42" s="28">
        <v>0</v>
      </c>
      <c r="I42" s="28">
        <v>0</v>
      </c>
      <c r="J42" s="28">
        <v>0</v>
      </c>
      <c r="K42" s="411" t="s">
        <v>65</v>
      </c>
      <c r="L42" s="2">
        <v>-2325000.48</v>
      </c>
    </row>
    <row r="43" ht="15.75" spans="1:11">
      <c r="A43" s="393"/>
      <c r="B43" s="394"/>
      <c r="C43" s="27"/>
      <c r="D43" s="27"/>
      <c r="E43" s="390">
        <f t="shared" si="8"/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412" t="s">
        <v>67</v>
      </c>
    </row>
    <row r="44" ht="15.75" spans="1:12">
      <c r="A44" s="393"/>
      <c r="B44" s="394"/>
      <c r="C44" s="27"/>
      <c r="D44" s="27"/>
      <c r="E44" s="488">
        <f t="shared" si="8"/>
        <v>97727.27</v>
      </c>
      <c r="F44" s="489">
        <f>121212.12+L44</f>
        <v>97727.27</v>
      </c>
      <c r="G44" s="28">
        <v>0</v>
      </c>
      <c r="H44" s="28">
        <v>0</v>
      </c>
      <c r="I44" s="28">
        <v>0</v>
      </c>
      <c r="J44" s="28">
        <v>0</v>
      </c>
      <c r="K44" s="411" t="s">
        <v>44</v>
      </c>
      <c r="L44" s="2">
        <v>-23484.85</v>
      </c>
    </row>
    <row r="45" ht="15.75" spans="1:11">
      <c r="A45" s="393"/>
      <c r="B45" s="395"/>
      <c r="C45" s="27"/>
      <c r="D45" s="27"/>
      <c r="E45" s="390">
        <f t="shared" si="8"/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412" t="s">
        <v>45</v>
      </c>
    </row>
    <row r="46" ht="18.75" customHeight="1" spans="1:12">
      <c r="A46" s="396" t="s">
        <v>70</v>
      </c>
      <c r="B46" s="397"/>
      <c r="C46" s="397"/>
      <c r="D46" s="398"/>
      <c r="E46" s="278">
        <f t="shared" ref="E46:E50" si="18">SUM(F46:J46)</f>
        <v>502489493.82</v>
      </c>
      <c r="F46" s="278">
        <f>F47+F48+F49+F50</f>
        <v>312647202.76</v>
      </c>
      <c r="G46" s="279">
        <f t="shared" ref="G46:J46" si="19">G47+G48+G49+G50</f>
        <v>115159816.38</v>
      </c>
      <c r="H46" s="279">
        <f t="shared" si="19"/>
        <v>74682474.68</v>
      </c>
      <c r="I46" s="279">
        <f t="shared" si="19"/>
        <v>0</v>
      </c>
      <c r="J46" s="279">
        <f t="shared" si="19"/>
        <v>0</v>
      </c>
      <c r="K46" s="340"/>
      <c r="L46" s="278">
        <f>L47+L48+L49+L50</f>
        <v>14709379.52</v>
      </c>
    </row>
    <row r="47" ht="18.75" spans="1:12">
      <c r="A47" s="399"/>
      <c r="B47" s="400"/>
      <c r="C47" s="400"/>
      <c r="D47" s="401"/>
      <c r="E47" s="279">
        <f t="shared" si="18"/>
        <v>265766855.39</v>
      </c>
      <c r="F47" s="280">
        <f>F4+F20</f>
        <v>226297399.5</v>
      </c>
      <c r="G47" s="280">
        <f>G4+G20</f>
        <v>39469455.89</v>
      </c>
      <c r="H47" s="280">
        <f>H4+H20</f>
        <v>0</v>
      </c>
      <c r="I47" s="280">
        <f>I4+I20</f>
        <v>0</v>
      </c>
      <c r="J47" s="280">
        <f>J4+J20</f>
        <v>0</v>
      </c>
      <c r="K47" s="420" t="s">
        <v>14</v>
      </c>
      <c r="L47" s="280">
        <f>L4+L20</f>
        <v>0</v>
      </c>
    </row>
    <row r="48" ht="18.75" spans="1:12">
      <c r="A48" s="399"/>
      <c r="B48" s="400"/>
      <c r="C48" s="400"/>
      <c r="D48" s="401"/>
      <c r="E48" s="278">
        <f t="shared" si="18"/>
        <v>186113466.91</v>
      </c>
      <c r="F48" s="281">
        <f t="shared" ref="F48:J49" si="20">F5+F21+F40</f>
        <v>42485803.97</v>
      </c>
      <c r="G48" s="280">
        <f t="shared" si="20"/>
        <v>72216581.02</v>
      </c>
      <c r="H48" s="280">
        <f t="shared" si="20"/>
        <v>71411081.92</v>
      </c>
      <c r="I48" s="280">
        <f t="shared" si="20"/>
        <v>0</v>
      </c>
      <c r="J48" s="280">
        <f t="shared" si="20"/>
        <v>0</v>
      </c>
      <c r="K48" s="420" t="s">
        <v>71</v>
      </c>
      <c r="L48" s="281">
        <f t="shared" ref="L48:L49" si="21">L5+L21+L40</f>
        <v>-2325000.48</v>
      </c>
    </row>
    <row r="49" ht="18.75" customHeight="1" spans="1:12">
      <c r="A49" s="399"/>
      <c r="B49" s="400"/>
      <c r="C49" s="400"/>
      <c r="D49" s="401"/>
      <c r="E49" s="278">
        <f t="shared" si="18"/>
        <v>6748343.59</v>
      </c>
      <c r="F49" s="281">
        <f t="shared" si="20"/>
        <v>2128776.56</v>
      </c>
      <c r="G49" s="280">
        <f t="shared" si="20"/>
        <v>2410976.87</v>
      </c>
      <c r="H49" s="280">
        <f t="shared" si="20"/>
        <v>2208590.16</v>
      </c>
      <c r="I49" s="280">
        <f t="shared" si="20"/>
        <v>0</v>
      </c>
      <c r="J49" s="280">
        <f t="shared" si="20"/>
        <v>0</v>
      </c>
      <c r="K49" s="287" t="s">
        <v>16</v>
      </c>
      <c r="L49" s="281">
        <f t="shared" si="21"/>
        <v>-23484.85</v>
      </c>
    </row>
    <row r="50" ht="18.75" customHeight="1" spans="1:12">
      <c r="A50" s="402"/>
      <c r="B50" s="403"/>
      <c r="C50" s="403"/>
      <c r="D50" s="404"/>
      <c r="E50" s="278">
        <f t="shared" si="18"/>
        <v>43860827.93</v>
      </c>
      <c r="F50" s="283">
        <f>F23+F7</f>
        <v>41735222.73</v>
      </c>
      <c r="G50" s="282">
        <f t="shared" ref="G50:J50" si="22">G23</f>
        <v>1062802.6</v>
      </c>
      <c r="H50" s="282">
        <f t="shared" si="22"/>
        <v>1062802.6</v>
      </c>
      <c r="I50" s="282">
        <f t="shared" si="22"/>
        <v>0</v>
      </c>
      <c r="J50" s="282">
        <f t="shared" si="22"/>
        <v>0</v>
      </c>
      <c r="K50" s="287" t="s">
        <v>73</v>
      </c>
      <c r="L50" s="283">
        <f>L23+L7</f>
        <v>17057864.85</v>
      </c>
    </row>
    <row r="51" ht="18.75" spans="1:11">
      <c r="A51" s="284" t="s">
        <v>102</v>
      </c>
      <c r="B51" s="284"/>
      <c r="C51" s="284"/>
      <c r="D51" s="284"/>
      <c r="E51" s="323"/>
      <c r="F51" s="323"/>
      <c r="G51" s="323"/>
      <c r="H51" s="323"/>
      <c r="I51" s="323"/>
      <c r="J51" s="323"/>
      <c r="K51" s="340"/>
    </row>
    <row r="52" ht="15.75" spans="2:11">
      <c r="B52" s="467"/>
      <c r="C52" s="467"/>
      <c r="D52" s="467"/>
      <c r="E52" s="2">
        <f>E49+E50</f>
        <v>50609171.52</v>
      </c>
      <c r="J52" s="479"/>
      <c r="K52" s="479"/>
    </row>
    <row r="53" ht="15.75" spans="9:11">
      <c r="I53" s="3" t="s">
        <v>87</v>
      </c>
      <c r="J53" s="480"/>
      <c r="K53" s="480">
        <v>178063747.64</v>
      </c>
    </row>
    <row r="54" s="1" customFormat="1" ht="15.75" spans="1:12">
      <c r="A54" s="3"/>
      <c r="B54" s="3"/>
      <c r="C54" s="3"/>
      <c r="D54" s="3"/>
      <c r="E54" s="3"/>
      <c r="F54" s="3"/>
      <c r="G54" s="3"/>
      <c r="H54" s="3"/>
      <c r="I54" s="3" t="s">
        <v>88</v>
      </c>
      <c r="J54" s="480"/>
      <c r="K54" s="480">
        <v>506829756.46</v>
      </c>
      <c r="L54" s="85"/>
    </row>
    <row r="55" s="1" customFormat="1" ht="15.75" spans="1:12">
      <c r="A55" s="3"/>
      <c r="B55" s="3"/>
      <c r="C55" s="3"/>
      <c r="D55" s="3"/>
      <c r="E55" s="2">
        <f>L46</f>
        <v>14709379.52</v>
      </c>
      <c r="F55" s="3"/>
      <c r="G55" s="3"/>
      <c r="H55" s="3"/>
      <c r="I55" s="3"/>
      <c r="J55" s="480"/>
      <c r="K55" s="481">
        <f>E46+K53+K54</f>
        <v>1187382997.92</v>
      </c>
      <c r="L55" s="85"/>
    </row>
    <row r="56" s="1" customFormat="1" ht="15.75" spans="1:12">
      <c r="A56" s="3"/>
      <c r="B56" s="3"/>
      <c r="C56" s="3"/>
      <c r="D56" s="3"/>
      <c r="E56" s="490">
        <v>5500000</v>
      </c>
      <c r="F56" s="491" t="s">
        <v>103</v>
      </c>
      <c r="G56" s="492" t="s">
        <v>104</v>
      </c>
      <c r="H56" s="258" t="s">
        <v>105</v>
      </c>
      <c r="I56" s="3"/>
      <c r="J56" s="480"/>
      <c r="K56" s="480"/>
      <c r="L56" s="85"/>
    </row>
    <row r="57" s="1" customFormat="1" ht="15.75" spans="1:12">
      <c r="A57" s="3"/>
      <c r="B57" s="3"/>
      <c r="C57" s="3"/>
      <c r="D57" s="3"/>
      <c r="E57" s="493">
        <v>6500000</v>
      </c>
      <c r="F57" s="3" t="s">
        <v>106</v>
      </c>
      <c r="G57" s="494" t="s">
        <v>104</v>
      </c>
      <c r="H57" s="258"/>
      <c r="I57" s="3"/>
      <c r="J57" s="480"/>
      <c r="K57" s="480"/>
      <c r="L57" s="85"/>
    </row>
    <row r="58" s="1" customFormat="1" ht="15.75" spans="1:12">
      <c r="A58" s="3"/>
      <c r="B58" s="495">
        <f>SUM(E58:E61)</f>
        <v>557864.85</v>
      </c>
      <c r="C58" s="496"/>
      <c r="D58" s="496"/>
      <c r="E58" s="497">
        <f>-L44</f>
        <v>23484.85</v>
      </c>
      <c r="F58" s="496" t="s">
        <v>107</v>
      </c>
      <c r="G58" s="498" t="s">
        <v>108</v>
      </c>
      <c r="H58" s="258"/>
      <c r="I58" s="3"/>
      <c r="J58" s="480"/>
      <c r="K58" s="480"/>
      <c r="L58" s="85"/>
    </row>
    <row r="59" spans="2:8">
      <c r="B59" s="496"/>
      <c r="C59" s="496"/>
      <c r="D59" s="496"/>
      <c r="E59" s="497">
        <v>75710.7</v>
      </c>
      <c r="F59" s="496" t="s">
        <v>109</v>
      </c>
      <c r="G59" s="498"/>
      <c r="H59" s="258"/>
    </row>
    <row r="60" spans="2:8">
      <c r="B60" s="496"/>
      <c r="C60" s="496"/>
      <c r="D60" s="496"/>
      <c r="E60" s="497">
        <v>133771.91</v>
      </c>
      <c r="F60" s="496" t="s">
        <v>110</v>
      </c>
      <c r="G60" s="498"/>
      <c r="H60" s="258"/>
    </row>
    <row r="61" spans="2:8">
      <c r="B61" s="496"/>
      <c r="C61" s="496"/>
      <c r="D61" s="496"/>
      <c r="E61" s="499">
        <v>324897.39</v>
      </c>
      <c r="F61" s="500" t="s">
        <v>111</v>
      </c>
      <c r="G61" s="501"/>
      <c r="H61" s="258"/>
    </row>
    <row r="62" spans="2:7">
      <c r="B62" s="502"/>
      <c r="C62" s="502"/>
      <c r="D62" s="502"/>
      <c r="E62" s="503">
        <v>4500000</v>
      </c>
      <c r="F62" s="504" t="s">
        <v>112</v>
      </c>
      <c r="G62" s="505"/>
    </row>
    <row r="63" spans="2:7">
      <c r="B63" s="502"/>
      <c r="C63" s="502"/>
      <c r="D63" s="502"/>
      <c r="E63" s="503">
        <f>L42</f>
        <v>-2325000.48</v>
      </c>
      <c r="F63" s="506" t="s">
        <v>113</v>
      </c>
      <c r="G63" s="507"/>
    </row>
    <row r="64" spans="2:7">
      <c r="B64" s="502"/>
      <c r="C64" s="502"/>
      <c r="D64" s="502"/>
      <c r="E64" s="503">
        <f>L44</f>
        <v>-23484.85</v>
      </c>
      <c r="F64" s="508" t="s">
        <v>114</v>
      </c>
      <c r="G64" s="505"/>
    </row>
    <row r="65" spans="5:5">
      <c r="E65" s="2">
        <f>SUM(E56:E64)</f>
        <v>14709379.52</v>
      </c>
    </row>
  </sheetData>
  <mergeCells count="27">
    <mergeCell ref="B18:K18"/>
    <mergeCell ref="B38:K38"/>
    <mergeCell ref="A51:D51"/>
    <mergeCell ref="F63:G63"/>
    <mergeCell ref="A3:A6"/>
    <mergeCell ref="A8:A14"/>
    <mergeCell ref="A15:A17"/>
    <mergeCell ref="A19:A23"/>
    <mergeCell ref="A24:A26"/>
    <mergeCell ref="A27:A30"/>
    <mergeCell ref="A31:A33"/>
    <mergeCell ref="A34:A37"/>
    <mergeCell ref="A39:A41"/>
    <mergeCell ref="A42:A45"/>
    <mergeCell ref="B3:B6"/>
    <mergeCell ref="B8:B14"/>
    <mergeCell ref="B15:B17"/>
    <mergeCell ref="B19:B23"/>
    <mergeCell ref="B24:B26"/>
    <mergeCell ref="B27:B30"/>
    <mergeCell ref="B31:B33"/>
    <mergeCell ref="B34:B37"/>
    <mergeCell ref="B39:B41"/>
    <mergeCell ref="B42:B45"/>
    <mergeCell ref="B58:B61"/>
    <mergeCell ref="G58:G61"/>
    <mergeCell ref="H56:H61"/>
  </mergeCells>
  <pageMargins left="0.118110236220472" right="0.118110236220472" top="0.15748031496063" bottom="0.15748031496063" header="0.31496062992126" footer="0.31496062992126"/>
  <pageSetup paperSize="9" scale="63" fitToHeight="0" orientation="portrait" blackAndWhite="1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7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8" width="14.2857142857143" style="3" customWidth="1"/>
    <col min="9" max="9" width="9.71428571428571" style="3" customWidth="1"/>
    <col min="10" max="10" width="7" style="3" customWidth="1"/>
    <col min="11" max="11" width="17.2857142857143" style="4" customWidth="1"/>
    <col min="12" max="12" width="0.285714285714286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20.25" spans="1:11">
      <c r="A1" s="422" t="s">
        <v>0</v>
      </c>
      <c r="B1" s="423" t="s">
        <v>1</v>
      </c>
      <c r="C1" s="423" t="s">
        <v>2</v>
      </c>
      <c r="D1" s="423" t="s">
        <v>3</v>
      </c>
      <c r="E1" s="423" t="s">
        <v>4</v>
      </c>
      <c r="F1" s="424">
        <v>2023</v>
      </c>
      <c r="G1" s="424">
        <v>2024</v>
      </c>
      <c r="H1" s="425">
        <v>2025</v>
      </c>
      <c r="I1" s="424">
        <v>2026</v>
      </c>
      <c r="J1" s="424">
        <v>2027</v>
      </c>
      <c r="K1" s="468" t="s">
        <v>115</v>
      </c>
    </row>
    <row r="2" spans="1:11">
      <c r="A2" s="426">
        <v>1</v>
      </c>
      <c r="B2" s="426">
        <v>2</v>
      </c>
      <c r="C2" s="426">
        <v>3</v>
      </c>
      <c r="D2" s="426">
        <v>4</v>
      </c>
      <c r="E2" s="426">
        <v>5</v>
      </c>
      <c r="F2" s="426">
        <v>6</v>
      </c>
      <c r="G2" s="426">
        <v>7</v>
      </c>
      <c r="H2" s="426">
        <v>8</v>
      </c>
      <c r="I2" s="426">
        <v>9</v>
      </c>
      <c r="J2" s="426">
        <v>10</v>
      </c>
      <c r="K2" s="426">
        <v>11</v>
      </c>
    </row>
    <row r="3" s="1" customFormat="1" ht="19.5" spans="1:12">
      <c r="A3" s="427" t="s">
        <v>6</v>
      </c>
      <c r="B3" s="428" t="s">
        <v>7</v>
      </c>
      <c r="C3" s="429"/>
      <c r="D3" s="429"/>
      <c r="E3" s="429"/>
      <c r="F3" s="430"/>
      <c r="G3" s="430"/>
      <c r="H3" s="429"/>
      <c r="I3" s="430"/>
      <c r="J3" s="430"/>
      <c r="K3" s="469"/>
      <c r="L3" s="85"/>
    </row>
    <row r="4" s="1" customFormat="1" ht="15.75" spans="1:12">
      <c r="A4" s="350" t="s">
        <v>8</v>
      </c>
      <c r="B4" s="351" t="s">
        <v>77</v>
      </c>
      <c r="C4" s="352"/>
      <c r="D4" s="352"/>
      <c r="E4" s="431">
        <f>F4+G4+H4+I4+J4</f>
        <v>285041418.28</v>
      </c>
      <c r="F4" s="354">
        <f>SUM(F5:F8)</f>
        <v>164564076.58</v>
      </c>
      <c r="G4" s="432">
        <f>SUM(G5:G8)</f>
        <v>120477341.7</v>
      </c>
      <c r="H4" s="354">
        <f>SUM(H5:H8)</f>
        <v>0</v>
      </c>
      <c r="I4" s="354">
        <f>SUM(I5:I8)</f>
        <v>0</v>
      </c>
      <c r="J4" s="354">
        <f>SUM(J5:J8)</f>
        <v>0</v>
      </c>
      <c r="K4" s="408" t="s">
        <v>13</v>
      </c>
      <c r="L4" s="85"/>
    </row>
    <row r="5" s="1" customFormat="1" ht="15.75" spans="1:12">
      <c r="A5" s="355"/>
      <c r="B5" s="352"/>
      <c r="C5" s="352"/>
      <c r="D5" s="352"/>
      <c r="E5" s="353">
        <f t="shared" ref="E5:E12" si="0">SUM(F5:J5)</f>
        <v>180948573.32</v>
      </c>
      <c r="F5" s="354">
        <f>F10+F11+F18</f>
        <v>141479117.43</v>
      </c>
      <c r="G5" s="354">
        <f>G10+G11+G18</f>
        <v>39469455.89</v>
      </c>
      <c r="H5" s="354">
        <f t="shared" ref="H5:J5" si="1">H10+H11</f>
        <v>0</v>
      </c>
      <c r="I5" s="354">
        <f t="shared" si="1"/>
        <v>0</v>
      </c>
      <c r="J5" s="354">
        <f t="shared" si="1"/>
        <v>0</v>
      </c>
      <c r="K5" s="409" t="s">
        <v>78</v>
      </c>
      <c r="L5" s="85"/>
    </row>
    <row r="6" s="1" customFormat="1" ht="15.75" spans="1:12">
      <c r="A6" s="355"/>
      <c r="B6" s="352"/>
      <c r="C6" s="352"/>
      <c r="D6" s="352"/>
      <c r="E6" s="353">
        <f t="shared" si="0"/>
        <v>1529562.72</v>
      </c>
      <c r="F6" s="354">
        <f>F12+F13</f>
        <v>724063.62</v>
      </c>
      <c r="G6" s="354">
        <f t="shared" ref="G6:J6" si="2">G12+G13</f>
        <v>805499.1</v>
      </c>
      <c r="H6" s="354">
        <f t="shared" si="2"/>
        <v>0</v>
      </c>
      <c r="I6" s="354">
        <f t="shared" si="2"/>
        <v>0</v>
      </c>
      <c r="J6" s="354">
        <f t="shared" si="2"/>
        <v>0</v>
      </c>
      <c r="K6" s="409" t="s">
        <v>71</v>
      </c>
      <c r="L6" s="85"/>
    </row>
    <row r="7" s="1" customFormat="1" ht="15.75" spans="1:12">
      <c r="A7" s="355"/>
      <c r="B7" s="352"/>
      <c r="C7" s="352"/>
      <c r="D7" s="352"/>
      <c r="E7" s="353">
        <f t="shared" si="0"/>
        <v>15384312.24</v>
      </c>
      <c r="F7" s="354">
        <f>F14+F16</f>
        <v>181925.53</v>
      </c>
      <c r="G7" s="354">
        <f t="shared" ref="G7:J7" si="3">G14+G16</f>
        <v>15202386.71</v>
      </c>
      <c r="H7" s="354">
        <f t="shared" si="3"/>
        <v>0</v>
      </c>
      <c r="I7" s="354">
        <f t="shared" si="3"/>
        <v>0</v>
      </c>
      <c r="J7" s="354">
        <f t="shared" si="3"/>
        <v>0</v>
      </c>
      <c r="K7" s="409" t="s">
        <v>16</v>
      </c>
      <c r="L7" s="85"/>
    </row>
    <row r="8" s="1" customFormat="1" ht="16.5" spans="1:12">
      <c r="A8" s="355"/>
      <c r="B8" s="352"/>
      <c r="C8" s="352"/>
      <c r="D8" s="352"/>
      <c r="E8" s="431">
        <f t="shared" si="0"/>
        <v>87178970</v>
      </c>
      <c r="F8" s="354">
        <f>F19+F15</f>
        <v>22178970</v>
      </c>
      <c r="G8" s="432">
        <f t="shared" ref="G8:J8" si="4">G19+G15</f>
        <v>65000000</v>
      </c>
      <c r="H8" s="354">
        <f t="shared" si="4"/>
        <v>0</v>
      </c>
      <c r="I8" s="354">
        <f t="shared" si="4"/>
        <v>0</v>
      </c>
      <c r="J8" s="354">
        <f t="shared" si="4"/>
        <v>0</v>
      </c>
      <c r="K8" s="409" t="s">
        <v>73</v>
      </c>
      <c r="L8" s="85"/>
    </row>
    <row r="9" s="1" customFormat="1" ht="15.75" spans="1:12">
      <c r="A9" s="350" t="s">
        <v>11</v>
      </c>
      <c r="B9" s="356" t="s">
        <v>79</v>
      </c>
      <c r="C9" s="352"/>
      <c r="D9" s="352"/>
      <c r="E9" s="431">
        <f t="shared" si="0"/>
        <v>91862448.28</v>
      </c>
      <c r="F9" s="354">
        <f>F10+F11+F12+F13+F14+F16</f>
        <v>36385106.58</v>
      </c>
      <c r="G9" s="432">
        <f>G10+G11+G12+G13+G14+G16+G15</f>
        <v>55477341.7</v>
      </c>
      <c r="H9" s="354">
        <f t="shared" ref="H9:J9" si="5">H10+H11+H12+H13+H14+H16</f>
        <v>0</v>
      </c>
      <c r="I9" s="354">
        <f t="shared" si="5"/>
        <v>0</v>
      </c>
      <c r="J9" s="354">
        <f t="shared" si="5"/>
        <v>0</v>
      </c>
      <c r="K9" s="408" t="s">
        <v>13</v>
      </c>
      <c r="L9" s="85"/>
    </row>
    <row r="10" s="1" customFormat="1" ht="15.75" spans="1:12">
      <c r="A10" s="355"/>
      <c r="B10" s="357"/>
      <c r="C10" s="357"/>
      <c r="D10" s="357"/>
      <c r="E10" s="431">
        <f t="shared" si="0"/>
        <v>74948573.32</v>
      </c>
      <c r="F10" s="358">
        <v>35479117.43</v>
      </c>
      <c r="G10" s="482">
        <v>39469455.89</v>
      </c>
      <c r="H10" s="360">
        <v>0</v>
      </c>
      <c r="I10" s="410">
        <v>0</v>
      </c>
      <c r="J10" s="410">
        <v>0</v>
      </c>
      <c r="K10" s="411" t="s">
        <v>20</v>
      </c>
      <c r="L10" s="85"/>
    </row>
    <row r="11" s="1" customFormat="1" ht="15.75" spans="1:12">
      <c r="A11" s="355"/>
      <c r="B11" s="357"/>
      <c r="C11" s="357"/>
      <c r="D11" s="357"/>
      <c r="E11" s="353">
        <f t="shared" si="0"/>
        <v>0</v>
      </c>
      <c r="F11" s="361">
        <v>0</v>
      </c>
      <c r="G11" s="361">
        <v>0</v>
      </c>
      <c r="H11" s="361">
        <v>0</v>
      </c>
      <c r="I11" s="361">
        <v>0</v>
      </c>
      <c r="J11" s="361">
        <v>0</v>
      </c>
      <c r="K11" s="412" t="s">
        <v>21</v>
      </c>
      <c r="L11" s="85"/>
    </row>
    <row r="12" s="1" customFormat="1" ht="15.75" spans="1:12">
      <c r="A12" s="355"/>
      <c r="B12" s="357"/>
      <c r="C12" s="357"/>
      <c r="D12" s="357"/>
      <c r="E12" s="431">
        <f t="shared" si="0"/>
        <v>1529562.72</v>
      </c>
      <c r="F12" s="359">
        <v>724063.62</v>
      </c>
      <c r="G12" s="482">
        <v>805499.1</v>
      </c>
      <c r="H12" s="359">
        <v>0</v>
      </c>
      <c r="I12" s="359">
        <v>0</v>
      </c>
      <c r="J12" s="359">
        <v>0</v>
      </c>
      <c r="K12" s="411" t="s">
        <v>23</v>
      </c>
      <c r="L12" s="85"/>
    </row>
    <row r="13" s="1" customFormat="1" ht="15.75" spans="1:12">
      <c r="A13" s="355"/>
      <c r="B13" s="357"/>
      <c r="C13" s="357"/>
      <c r="D13" s="357"/>
      <c r="E13" s="353">
        <f t="shared" ref="E13:E19" si="6">SUM(F13:J13)</f>
        <v>0</v>
      </c>
      <c r="F13" s="361">
        <v>0</v>
      </c>
      <c r="G13" s="361">
        <v>0</v>
      </c>
      <c r="H13" s="361">
        <v>0</v>
      </c>
      <c r="I13" s="361">
        <v>0</v>
      </c>
      <c r="J13" s="361">
        <v>0</v>
      </c>
      <c r="K13" s="412" t="s">
        <v>24</v>
      </c>
      <c r="L13" s="85"/>
    </row>
    <row r="14" s="1" customFormat="1" ht="15.75" spans="1:12">
      <c r="A14" s="355"/>
      <c r="B14" s="357"/>
      <c r="C14" s="357"/>
      <c r="D14" s="357"/>
      <c r="E14" s="431">
        <f t="shared" si="6"/>
        <v>384312.24</v>
      </c>
      <c r="F14" s="359">
        <v>181925.53</v>
      </c>
      <c r="G14" s="482">
        <v>202386.71</v>
      </c>
      <c r="H14" s="359">
        <v>0</v>
      </c>
      <c r="I14" s="359">
        <v>0</v>
      </c>
      <c r="J14" s="359">
        <v>0</v>
      </c>
      <c r="K14" s="411" t="s">
        <v>26</v>
      </c>
      <c r="L14" s="85"/>
    </row>
    <row r="15" s="1" customFormat="1" ht="15.75" spans="1:12">
      <c r="A15" s="355"/>
      <c r="B15" s="357"/>
      <c r="C15" s="357"/>
      <c r="D15" s="357"/>
      <c r="E15" s="433">
        <f t="shared" si="6"/>
        <v>0</v>
      </c>
      <c r="F15" s="435">
        <v>0</v>
      </c>
      <c r="G15" s="435">
        <v>0</v>
      </c>
      <c r="H15" s="359">
        <v>0</v>
      </c>
      <c r="I15" s="359">
        <v>0</v>
      </c>
      <c r="J15" s="359">
        <v>0</v>
      </c>
      <c r="K15" s="411" t="s">
        <v>45</v>
      </c>
      <c r="L15" s="85"/>
    </row>
    <row r="16" s="1" customFormat="1" ht="16.5" spans="1:12">
      <c r="A16" s="362"/>
      <c r="B16" s="363"/>
      <c r="C16" s="357"/>
      <c r="D16" s="357"/>
      <c r="E16" s="353">
        <f t="shared" si="6"/>
        <v>15000000</v>
      </c>
      <c r="F16" s="361">
        <v>0</v>
      </c>
      <c r="G16" s="361">
        <v>15000000</v>
      </c>
      <c r="H16" s="361">
        <v>0</v>
      </c>
      <c r="I16" s="361">
        <v>0</v>
      </c>
      <c r="J16" s="361">
        <v>0</v>
      </c>
      <c r="K16" s="412" t="s">
        <v>29</v>
      </c>
      <c r="L16" s="85"/>
    </row>
    <row r="17" s="1" customFormat="1" ht="15.75" spans="1:12">
      <c r="A17" s="350" t="s">
        <v>91</v>
      </c>
      <c r="B17" s="356" t="s">
        <v>92</v>
      </c>
      <c r="C17" s="357"/>
      <c r="D17" s="357"/>
      <c r="E17" s="431">
        <f t="shared" si="6"/>
        <v>193178970</v>
      </c>
      <c r="F17" s="361">
        <f>F19+F18</f>
        <v>128178970</v>
      </c>
      <c r="G17" s="437">
        <f>++G19</f>
        <v>65000000</v>
      </c>
      <c r="H17" s="361">
        <f>+H18</f>
        <v>0</v>
      </c>
      <c r="I17" s="361">
        <f t="shared" ref="I17:J17" si="7">+I18</f>
        <v>0</v>
      </c>
      <c r="J17" s="361">
        <f t="shared" si="7"/>
        <v>0</v>
      </c>
      <c r="K17" s="412" t="s">
        <v>13</v>
      </c>
      <c r="L17" s="85"/>
    </row>
    <row r="18" s="1" customFormat="1" ht="15.75" spans="1:12">
      <c r="A18" s="355"/>
      <c r="B18" s="357"/>
      <c r="C18" s="357"/>
      <c r="D18" s="357"/>
      <c r="E18" s="353">
        <f t="shared" si="6"/>
        <v>106000000</v>
      </c>
      <c r="F18" s="358">
        <v>106000000</v>
      </c>
      <c r="G18" s="358">
        <v>0</v>
      </c>
      <c r="H18" s="358">
        <v>0</v>
      </c>
      <c r="I18" s="358">
        <v>0</v>
      </c>
      <c r="J18" s="358">
        <v>0</v>
      </c>
      <c r="K18" s="411" t="s">
        <v>95</v>
      </c>
      <c r="L18" s="85"/>
    </row>
    <row r="19" s="1" customFormat="1" ht="38.25" customHeight="1" spans="1:12">
      <c r="A19" s="355"/>
      <c r="B19" s="364"/>
      <c r="C19" s="357"/>
      <c r="D19" s="357"/>
      <c r="E19" s="431">
        <f t="shared" si="6"/>
        <v>87178970</v>
      </c>
      <c r="F19" s="358">
        <f>22776970-598000</f>
        <v>22178970</v>
      </c>
      <c r="G19" s="438">
        <v>65000000</v>
      </c>
      <c r="H19" s="358">
        <v>0</v>
      </c>
      <c r="I19" s="358">
        <v>0</v>
      </c>
      <c r="J19" s="358">
        <v>0</v>
      </c>
      <c r="K19" s="411" t="s">
        <v>96</v>
      </c>
      <c r="L19" s="85"/>
    </row>
    <row r="20" ht="18.75" spans="1:11">
      <c r="A20" s="315" t="s">
        <v>36</v>
      </c>
      <c r="B20" s="367" t="s">
        <v>37</v>
      </c>
      <c r="C20" s="367"/>
      <c r="D20" s="367"/>
      <c r="E20" s="367"/>
      <c r="F20" s="367"/>
      <c r="G20" s="367"/>
      <c r="H20" s="367"/>
      <c r="I20" s="367"/>
      <c r="J20" s="367"/>
      <c r="K20" s="367"/>
    </row>
    <row r="21" ht="18.75" spans="1:12">
      <c r="A21" s="368" t="s">
        <v>38</v>
      </c>
      <c r="B21" s="440" t="s">
        <v>80</v>
      </c>
      <c r="C21" s="441"/>
      <c r="D21" s="441"/>
      <c r="E21" s="442">
        <f t="shared" ref="E21:E47" si="8">F21+G21+H21+I21+J21</f>
        <v>287675348.75</v>
      </c>
      <c r="F21" s="442">
        <f>F22+F23+F24+F25</f>
        <v>138310399.39</v>
      </c>
      <c r="G21" s="442">
        <f t="shared" ref="G21:J21" si="9">G22+G23+G24+G25</f>
        <v>74682474.68</v>
      </c>
      <c r="H21" s="442">
        <f t="shared" si="9"/>
        <v>74682474.68</v>
      </c>
      <c r="I21" s="442">
        <f t="shared" si="9"/>
        <v>0</v>
      </c>
      <c r="J21" s="442">
        <f t="shared" si="9"/>
        <v>0</v>
      </c>
      <c r="K21" s="470" t="s">
        <v>10</v>
      </c>
      <c r="L21" s="371">
        <f>L22+L23+L24+L25</f>
        <v>17057864.85</v>
      </c>
    </row>
    <row r="22" spans="1:12">
      <c r="A22" s="372"/>
      <c r="B22" s="443"/>
      <c r="C22" s="441"/>
      <c r="D22" s="441"/>
      <c r="E22" s="442">
        <f t="shared" si="8"/>
        <v>84818282.07</v>
      </c>
      <c r="F22" s="442">
        <f>F34</f>
        <v>84818282.07</v>
      </c>
      <c r="G22" s="442">
        <f t="shared" ref="G22:J22" si="10">G34</f>
        <v>0</v>
      </c>
      <c r="H22" s="442">
        <f t="shared" si="10"/>
        <v>0</v>
      </c>
      <c r="I22" s="442">
        <f t="shared" si="10"/>
        <v>0</v>
      </c>
      <c r="J22" s="442">
        <f t="shared" si="10"/>
        <v>0</v>
      </c>
      <c r="K22" s="442" t="s">
        <v>14</v>
      </c>
      <c r="L22" s="371">
        <f>L34</f>
        <v>0</v>
      </c>
    </row>
    <row r="23" spans="1:12">
      <c r="A23" s="372"/>
      <c r="B23" s="443"/>
      <c r="C23" s="444"/>
      <c r="D23" s="444"/>
      <c r="E23" s="442">
        <f t="shared" si="8"/>
        <v>174908904.67</v>
      </c>
      <c r="F23" s="442">
        <f>F27</f>
        <v>32086740.83</v>
      </c>
      <c r="G23" s="442">
        <f t="shared" ref="G23:J23" si="11">G27</f>
        <v>71411081.92</v>
      </c>
      <c r="H23" s="442">
        <f t="shared" si="11"/>
        <v>71411081.92</v>
      </c>
      <c r="I23" s="442">
        <f t="shared" si="11"/>
        <v>0</v>
      </c>
      <c r="J23" s="442">
        <f t="shared" si="11"/>
        <v>0</v>
      </c>
      <c r="K23" s="471" t="s">
        <v>15</v>
      </c>
      <c r="L23" s="371">
        <f>L27</f>
        <v>0</v>
      </c>
    </row>
    <row r="24" spans="1:14">
      <c r="A24" s="372"/>
      <c r="B24" s="443"/>
      <c r="C24" s="444"/>
      <c r="D24" s="444"/>
      <c r="E24" s="442">
        <f t="shared" si="8"/>
        <v>6266304.08</v>
      </c>
      <c r="F24" s="442">
        <f>F28+F35</f>
        <v>1849123.76</v>
      </c>
      <c r="G24" s="442">
        <f>G28+G35</f>
        <v>2208590.16</v>
      </c>
      <c r="H24" s="442">
        <f>H28+H35</f>
        <v>2208590.16</v>
      </c>
      <c r="I24" s="442">
        <f>I28+I35</f>
        <v>0</v>
      </c>
      <c r="J24" s="442">
        <f>J28+J35</f>
        <v>0</v>
      </c>
      <c r="K24" s="471" t="s">
        <v>16</v>
      </c>
      <c r="L24" s="371">
        <f>L28+L35</f>
        <v>0</v>
      </c>
      <c r="M24" s="94"/>
      <c r="N24" s="94"/>
    </row>
    <row r="25" spans="1:14">
      <c r="A25" s="375"/>
      <c r="B25" s="445"/>
      <c r="C25" s="444"/>
      <c r="D25" s="444"/>
      <c r="E25" s="442">
        <f t="shared" si="8"/>
        <v>21681857.93</v>
      </c>
      <c r="F25" s="442">
        <f>F36</f>
        <v>19556252.73</v>
      </c>
      <c r="G25" s="442">
        <f t="shared" ref="G25:J25" si="12">G36</f>
        <v>1062802.6</v>
      </c>
      <c r="H25" s="442">
        <f t="shared" si="12"/>
        <v>1062802.6</v>
      </c>
      <c r="I25" s="442">
        <f t="shared" si="12"/>
        <v>0</v>
      </c>
      <c r="J25" s="442">
        <f t="shared" si="12"/>
        <v>0</v>
      </c>
      <c r="K25" s="442" t="s">
        <v>17</v>
      </c>
      <c r="L25" s="371">
        <f>L36</f>
        <v>17057864.85</v>
      </c>
      <c r="M25" s="94"/>
      <c r="N25" s="94"/>
    </row>
    <row r="26" ht="15.75" spans="1:14">
      <c r="A26" s="377" t="s">
        <v>40</v>
      </c>
      <c r="B26" s="444" t="s">
        <v>81</v>
      </c>
      <c r="C26" s="446"/>
      <c r="D26" s="446"/>
      <c r="E26" s="442">
        <f t="shared" si="8"/>
        <v>180318458.42</v>
      </c>
      <c r="F26" s="447">
        <f>SUM(F27:F28)</f>
        <v>33079114.26</v>
      </c>
      <c r="G26" s="447">
        <f t="shared" ref="G26:J26" si="13">SUM(G27:G28)</f>
        <v>73619672.08</v>
      </c>
      <c r="H26" s="447">
        <f t="shared" si="13"/>
        <v>73619672.08</v>
      </c>
      <c r="I26" s="447">
        <f t="shared" si="13"/>
        <v>0</v>
      </c>
      <c r="J26" s="447">
        <f t="shared" si="13"/>
        <v>0</v>
      </c>
      <c r="K26" s="472" t="s">
        <v>10</v>
      </c>
      <c r="M26" s="94"/>
      <c r="N26" s="94"/>
    </row>
    <row r="27" ht="15.75" spans="1:11">
      <c r="A27" s="380"/>
      <c r="B27" s="444"/>
      <c r="C27" s="446"/>
      <c r="D27" s="446"/>
      <c r="E27" s="442">
        <f t="shared" si="8"/>
        <v>174908904.67</v>
      </c>
      <c r="F27" s="448">
        <f>F29+F30</f>
        <v>32086740.83</v>
      </c>
      <c r="G27" s="448">
        <f>G29+G30</f>
        <v>71411081.92</v>
      </c>
      <c r="H27" s="448">
        <f>H29+H30</f>
        <v>71411081.92</v>
      </c>
      <c r="I27" s="448">
        <f>I29+I30</f>
        <v>0</v>
      </c>
      <c r="J27" s="448">
        <f>J29+J30</f>
        <v>0</v>
      </c>
      <c r="K27" s="472" t="s">
        <v>15</v>
      </c>
    </row>
    <row r="28" ht="15.75" spans="1:11">
      <c r="A28" s="380"/>
      <c r="B28" s="444"/>
      <c r="C28" s="446"/>
      <c r="D28" s="446"/>
      <c r="E28" s="442">
        <f t="shared" si="8"/>
        <v>5409553.75</v>
      </c>
      <c r="F28" s="448">
        <f>F31+F32</f>
        <v>992373.43</v>
      </c>
      <c r="G28" s="448">
        <f>G31+G32</f>
        <v>2208590.16</v>
      </c>
      <c r="H28" s="448">
        <f>H31+H32</f>
        <v>2208590.16</v>
      </c>
      <c r="I28" s="448">
        <f>I31+I32</f>
        <v>0</v>
      </c>
      <c r="J28" s="448">
        <f>J31+J32</f>
        <v>0</v>
      </c>
      <c r="K28" s="472" t="s">
        <v>16</v>
      </c>
    </row>
    <row r="29" ht="15.75" spans="1:11">
      <c r="A29" s="377" t="s">
        <v>42</v>
      </c>
      <c r="B29" s="444" t="s">
        <v>43</v>
      </c>
      <c r="C29" s="449"/>
      <c r="D29" s="449"/>
      <c r="E29" s="442">
        <f t="shared" si="8"/>
        <v>166009963.37</v>
      </c>
      <c r="F29" s="450">
        <f>26400000-3212200.47</f>
        <v>23187799.53</v>
      </c>
      <c r="G29" s="450">
        <v>71411081.92</v>
      </c>
      <c r="H29" s="450">
        <v>71411081.92</v>
      </c>
      <c r="I29" s="450">
        <v>0</v>
      </c>
      <c r="J29" s="450">
        <v>0</v>
      </c>
      <c r="K29" s="473" t="s">
        <v>23</v>
      </c>
    </row>
    <row r="30" ht="15.75" spans="1:11">
      <c r="A30" s="380"/>
      <c r="B30" s="444"/>
      <c r="C30" s="449"/>
      <c r="D30" s="449"/>
      <c r="E30" s="442">
        <f t="shared" si="8"/>
        <v>8898941.3</v>
      </c>
      <c r="F30" s="450">
        <f>5686740.83+3212200.47</f>
        <v>8898941.3</v>
      </c>
      <c r="G30" s="450">
        <v>0</v>
      </c>
      <c r="H30" s="450">
        <v>0</v>
      </c>
      <c r="I30" s="450">
        <v>0</v>
      </c>
      <c r="J30" s="450">
        <v>0</v>
      </c>
      <c r="K30" s="473" t="s">
        <v>24</v>
      </c>
    </row>
    <row r="31" ht="15.75" spans="1:11">
      <c r="A31" s="380"/>
      <c r="B31" s="444"/>
      <c r="C31" s="449"/>
      <c r="D31" s="449"/>
      <c r="E31" s="442">
        <f t="shared" si="8"/>
        <v>5134328.76</v>
      </c>
      <c r="F31" s="450">
        <f>816494.85-99346.41</f>
        <v>717148.44</v>
      </c>
      <c r="G31" s="450">
        <v>2208590.16</v>
      </c>
      <c r="H31" s="450">
        <v>2208590.16</v>
      </c>
      <c r="I31" s="450">
        <v>0</v>
      </c>
      <c r="J31" s="450">
        <v>0</v>
      </c>
      <c r="K31" s="473" t="s">
        <v>44</v>
      </c>
    </row>
    <row r="32" ht="15.75" spans="1:11">
      <c r="A32" s="380"/>
      <c r="B32" s="444"/>
      <c r="C32" s="449"/>
      <c r="D32" s="449"/>
      <c r="E32" s="442">
        <f t="shared" si="8"/>
        <v>275224.99</v>
      </c>
      <c r="F32" s="450">
        <f>175878.58+99346.41</f>
        <v>275224.99</v>
      </c>
      <c r="G32" s="450">
        <v>0</v>
      </c>
      <c r="H32" s="450">
        <v>0</v>
      </c>
      <c r="I32" s="450">
        <v>0</v>
      </c>
      <c r="J32" s="450">
        <v>0</v>
      </c>
      <c r="K32" s="473" t="s">
        <v>45</v>
      </c>
    </row>
    <row r="33" ht="15.75" spans="1:11">
      <c r="A33" s="377" t="s">
        <v>48</v>
      </c>
      <c r="B33" s="451" t="s">
        <v>82</v>
      </c>
      <c r="C33" s="452"/>
      <c r="D33" s="452"/>
      <c r="E33" s="442">
        <f t="shared" si="8"/>
        <v>85675032.4</v>
      </c>
      <c r="F33" s="453">
        <f>SUM(F34:F35)</f>
        <v>85675032.4</v>
      </c>
      <c r="G33" s="453">
        <f t="shared" ref="G33:J33" si="14">SUM(G34:G35)</f>
        <v>0</v>
      </c>
      <c r="H33" s="453">
        <f t="shared" si="14"/>
        <v>0</v>
      </c>
      <c r="I33" s="453">
        <f t="shared" si="14"/>
        <v>0</v>
      </c>
      <c r="J33" s="453">
        <f t="shared" si="14"/>
        <v>0</v>
      </c>
      <c r="K33" s="474" t="s">
        <v>50</v>
      </c>
    </row>
    <row r="34" ht="15.75" spans="1:11">
      <c r="A34" s="380"/>
      <c r="B34" s="454"/>
      <c r="C34" s="452"/>
      <c r="D34" s="452"/>
      <c r="E34" s="442">
        <f t="shared" si="8"/>
        <v>84818282.07</v>
      </c>
      <c r="F34" s="455">
        <v>84818282.07</v>
      </c>
      <c r="G34" s="455">
        <v>0</v>
      </c>
      <c r="H34" s="455">
        <v>0</v>
      </c>
      <c r="I34" s="455">
        <v>0</v>
      </c>
      <c r="J34" s="455">
        <v>0</v>
      </c>
      <c r="K34" s="474" t="s">
        <v>20</v>
      </c>
    </row>
    <row r="35" ht="15.75" spans="1:11">
      <c r="A35" s="380"/>
      <c r="B35" s="454"/>
      <c r="C35" s="452"/>
      <c r="D35" s="452"/>
      <c r="E35" s="442">
        <f t="shared" si="8"/>
        <v>856750.33</v>
      </c>
      <c r="F35" s="455">
        <v>856750.33</v>
      </c>
      <c r="G35" s="455">
        <v>0</v>
      </c>
      <c r="H35" s="455">
        <v>0</v>
      </c>
      <c r="I35" s="455">
        <v>0</v>
      </c>
      <c r="J35" s="455">
        <v>0</v>
      </c>
      <c r="K35" s="474" t="s">
        <v>44</v>
      </c>
    </row>
    <row r="36" s="1" customFormat="1" ht="15.75" spans="1:12">
      <c r="A36" s="377" t="s">
        <v>83</v>
      </c>
      <c r="B36" s="451" t="s">
        <v>84</v>
      </c>
      <c r="C36" s="456"/>
      <c r="D36" s="456"/>
      <c r="E36" s="442">
        <f t="shared" si="8"/>
        <v>21681857.93</v>
      </c>
      <c r="F36" s="455">
        <f>F38+F37+F39</f>
        <v>19556252.73</v>
      </c>
      <c r="G36" s="455">
        <f>G38+G37</f>
        <v>1062802.6</v>
      </c>
      <c r="H36" s="455">
        <f>H38+H37</f>
        <v>1062802.6</v>
      </c>
      <c r="I36" s="455">
        <f>I38+I37</f>
        <v>0</v>
      </c>
      <c r="J36" s="455">
        <f>J38+J37</f>
        <v>0</v>
      </c>
      <c r="K36" s="475" t="s">
        <v>13</v>
      </c>
      <c r="L36" s="417">
        <f>L38+L37+L39</f>
        <v>17057864.85</v>
      </c>
    </row>
    <row r="37" s="1" customFormat="1" ht="15.75" spans="1:12">
      <c r="A37" s="380"/>
      <c r="B37" s="454"/>
      <c r="C37" s="456"/>
      <c r="D37" s="456"/>
      <c r="E37" s="442">
        <f t="shared" si="8"/>
        <v>14358252.73</v>
      </c>
      <c r="F37" s="455">
        <f>1800387.88+L37</f>
        <v>14358252.73</v>
      </c>
      <c r="G37" s="455">
        <v>0</v>
      </c>
      <c r="H37" s="455">
        <v>0</v>
      </c>
      <c r="I37" s="455">
        <v>0</v>
      </c>
      <c r="J37" s="455">
        <v>0</v>
      </c>
      <c r="K37" s="474" t="s">
        <v>29</v>
      </c>
      <c r="L37" s="85">
        <f>5500000+6500000+23484.85+75710.7+133771.91+324897.39</f>
        <v>12557864.85</v>
      </c>
    </row>
    <row r="38" s="1" customFormat="1" ht="15.75" spans="1:12">
      <c r="A38" s="380"/>
      <c r="B38" s="454"/>
      <c r="C38" s="456"/>
      <c r="D38" s="456"/>
      <c r="E38" s="442">
        <f t="shared" si="8"/>
        <v>6725605.2</v>
      </c>
      <c r="F38" s="455">
        <f>100000+L38</f>
        <v>4600000</v>
      </c>
      <c r="G38" s="455">
        <f>1069506.14-6703.54</f>
        <v>1062802.6</v>
      </c>
      <c r="H38" s="455">
        <f>1271892.85-209090.25</f>
        <v>1062802.6</v>
      </c>
      <c r="I38" s="455">
        <v>0</v>
      </c>
      <c r="J38" s="455">
        <v>0</v>
      </c>
      <c r="K38" s="474" t="s">
        <v>30</v>
      </c>
      <c r="L38" s="85">
        <v>4500000</v>
      </c>
    </row>
    <row r="39" s="1" customFormat="1" ht="15.75" spans="1:12">
      <c r="A39" s="380"/>
      <c r="B39" s="454"/>
      <c r="C39" s="456"/>
      <c r="D39" s="456"/>
      <c r="E39" s="442">
        <f t="shared" si="8"/>
        <v>598000</v>
      </c>
      <c r="F39" s="455">
        <v>598000</v>
      </c>
      <c r="G39" s="455">
        <v>0</v>
      </c>
      <c r="H39" s="455">
        <v>0</v>
      </c>
      <c r="I39" s="455">
        <v>0</v>
      </c>
      <c r="J39" s="455">
        <v>0</v>
      </c>
      <c r="K39" s="474" t="s">
        <v>101</v>
      </c>
      <c r="L39" s="85"/>
    </row>
    <row r="40" ht="18.75" spans="1:11">
      <c r="A40" s="315" t="s">
        <v>55</v>
      </c>
      <c r="B40" s="457" t="s">
        <v>56</v>
      </c>
      <c r="C40" s="457"/>
      <c r="D40" s="457"/>
      <c r="E40" s="457"/>
      <c r="F40" s="457"/>
      <c r="G40" s="457"/>
      <c r="H40" s="457"/>
      <c r="I40" s="457"/>
      <c r="J40" s="457"/>
      <c r="K40" s="457"/>
    </row>
    <row r="41" ht="15.75" spans="1:12">
      <c r="A41" s="387" t="s">
        <v>57</v>
      </c>
      <c r="B41" s="458" t="s">
        <v>85</v>
      </c>
      <c r="C41" s="459"/>
      <c r="D41" s="459"/>
      <c r="E41" s="460">
        <f t="shared" si="8"/>
        <v>9772726.79</v>
      </c>
      <c r="F41" s="391">
        <f>F42+F43</f>
        <v>9772726.79</v>
      </c>
      <c r="G41" s="461">
        <f t="shared" ref="G41:J41" si="15">G42+G43</f>
        <v>0</v>
      </c>
      <c r="H41" s="461">
        <f t="shared" si="15"/>
        <v>0</v>
      </c>
      <c r="I41" s="461">
        <f t="shared" si="15"/>
        <v>0</v>
      </c>
      <c r="J41" s="461">
        <f t="shared" si="15"/>
        <v>0</v>
      </c>
      <c r="K41" s="476" t="s">
        <v>10</v>
      </c>
      <c r="L41" s="419">
        <f>L42+L43</f>
        <v>-2348485.33</v>
      </c>
    </row>
    <row r="42" ht="15.75" spans="1:12">
      <c r="A42" s="392"/>
      <c r="B42" s="458"/>
      <c r="C42" s="459"/>
      <c r="D42" s="459"/>
      <c r="E42" s="460">
        <f t="shared" si="8"/>
        <v>9674999.52</v>
      </c>
      <c r="F42" s="391">
        <f>F44+F45</f>
        <v>9674999.52</v>
      </c>
      <c r="G42" s="461">
        <f t="shared" ref="G42:J42" si="16">G44+G45</f>
        <v>0</v>
      </c>
      <c r="H42" s="461">
        <f t="shared" si="16"/>
        <v>0</v>
      </c>
      <c r="I42" s="461">
        <f t="shared" si="16"/>
        <v>0</v>
      </c>
      <c r="J42" s="461">
        <f t="shared" si="16"/>
        <v>0</v>
      </c>
      <c r="K42" s="476" t="s">
        <v>15</v>
      </c>
      <c r="L42" s="419">
        <f>L44+L45</f>
        <v>-2325000.48</v>
      </c>
    </row>
    <row r="43" ht="15.75" spans="1:12">
      <c r="A43" s="392"/>
      <c r="B43" s="458"/>
      <c r="C43" s="459"/>
      <c r="D43" s="459"/>
      <c r="E43" s="460">
        <f t="shared" si="8"/>
        <v>97727.27</v>
      </c>
      <c r="F43" s="391">
        <f>F46+F47</f>
        <v>97727.27</v>
      </c>
      <c r="G43" s="461">
        <f t="shared" ref="G43:J43" si="17">G46+G47</f>
        <v>0</v>
      </c>
      <c r="H43" s="461">
        <f t="shared" si="17"/>
        <v>0</v>
      </c>
      <c r="I43" s="461">
        <f t="shared" si="17"/>
        <v>0</v>
      </c>
      <c r="J43" s="461">
        <f t="shared" si="17"/>
        <v>0</v>
      </c>
      <c r="K43" s="476" t="s">
        <v>16</v>
      </c>
      <c r="L43" s="419">
        <f>L46+L47</f>
        <v>-23484.85</v>
      </c>
    </row>
    <row r="44" ht="15.75" spans="1:12">
      <c r="A44" s="393" t="s">
        <v>59</v>
      </c>
      <c r="B44" s="462" t="s">
        <v>86</v>
      </c>
      <c r="C44" s="449"/>
      <c r="D44" s="449"/>
      <c r="E44" s="460">
        <f t="shared" si="8"/>
        <v>9674999.52</v>
      </c>
      <c r="F44" s="28">
        <v>9674999.52</v>
      </c>
      <c r="G44" s="450">
        <v>0</v>
      </c>
      <c r="H44" s="450">
        <v>0</v>
      </c>
      <c r="I44" s="450">
        <v>0</v>
      </c>
      <c r="J44" s="450">
        <v>0</v>
      </c>
      <c r="K44" s="477" t="s">
        <v>65</v>
      </c>
      <c r="L44" s="2">
        <v>-2325000.48</v>
      </c>
    </row>
    <row r="45" ht="15.75" spans="1:11">
      <c r="A45" s="393"/>
      <c r="B45" s="462"/>
      <c r="C45" s="449"/>
      <c r="D45" s="449"/>
      <c r="E45" s="460">
        <f t="shared" si="8"/>
        <v>0</v>
      </c>
      <c r="F45" s="28">
        <v>0</v>
      </c>
      <c r="G45" s="450">
        <v>0</v>
      </c>
      <c r="H45" s="450">
        <v>0</v>
      </c>
      <c r="I45" s="450">
        <v>0</v>
      </c>
      <c r="J45" s="450">
        <v>0</v>
      </c>
      <c r="K45" s="478" t="s">
        <v>67</v>
      </c>
    </row>
    <row r="46" ht="15.75" spans="1:12">
      <c r="A46" s="393"/>
      <c r="B46" s="462"/>
      <c r="C46" s="449"/>
      <c r="D46" s="449"/>
      <c r="E46" s="460">
        <f t="shared" si="8"/>
        <v>97727.27</v>
      </c>
      <c r="F46" s="28">
        <v>97727.27</v>
      </c>
      <c r="G46" s="450">
        <v>0</v>
      </c>
      <c r="H46" s="450">
        <v>0</v>
      </c>
      <c r="I46" s="450">
        <v>0</v>
      </c>
      <c r="J46" s="450">
        <v>0</v>
      </c>
      <c r="K46" s="477" t="s">
        <v>44</v>
      </c>
      <c r="L46" s="2">
        <v>-23484.85</v>
      </c>
    </row>
    <row r="47" ht="15.75" spans="1:11">
      <c r="A47" s="393"/>
      <c r="B47" s="463"/>
      <c r="C47" s="449"/>
      <c r="D47" s="449"/>
      <c r="E47" s="460">
        <f t="shared" si="8"/>
        <v>0</v>
      </c>
      <c r="F47" s="28">
        <v>0</v>
      </c>
      <c r="G47" s="450">
        <v>0</v>
      </c>
      <c r="H47" s="450">
        <v>0</v>
      </c>
      <c r="I47" s="450">
        <v>0</v>
      </c>
      <c r="J47" s="450">
        <v>0</v>
      </c>
      <c r="K47" s="478" t="s">
        <v>45</v>
      </c>
    </row>
    <row r="48" ht="18.75" customHeight="1" spans="1:12">
      <c r="A48" s="396" t="s">
        <v>70</v>
      </c>
      <c r="B48" s="397"/>
      <c r="C48" s="397"/>
      <c r="D48" s="398"/>
      <c r="E48" s="278">
        <f t="shared" ref="E48:E52" si="18">SUM(F48:J48)</f>
        <v>582489493.82</v>
      </c>
      <c r="F48" s="279">
        <f>F49+F50+F51+F52</f>
        <v>312647202.76</v>
      </c>
      <c r="G48" s="278">
        <f>G49+G50+G51+G52</f>
        <v>195159816.38</v>
      </c>
      <c r="H48" s="279">
        <f t="shared" ref="H48:J48" si="19">H49+H50+H51+H52</f>
        <v>74682474.68</v>
      </c>
      <c r="I48" s="279">
        <f t="shared" si="19"/>
        <v>0</v>
      </c>
      <c r="J48" s="279">
        <f t="shared" si="19"/>
        <v>0</v>
      </c>
      <c r="K48" s="340"/>
      <c r="L48" s="278">
        <f>L49+L50+L51+L52</f>
        <v>14709379.52</v>
      </c>
    </row>
    <row r="49" ht="18.75" spans="1:12">
      <c r="A49" s="399"/>
      <c r="B49" s="400"/>
      <c r="C49" s="400"/>
      <c r="D49" s="401"/>
      <c r="E49" s="279">
        <f t="shared" si="18"/>
        <v>265766855.39</v>
      </c>
      <c r="F49" s="280">
        <f>F5+F22</f>
        <v>226297399.5</v>
      </c>
      <c r="G49" s="280">
        <f>G5+G22</f>
        <v>39469455.89</v>
      </c>
      <c r="H49" s="280">
        <f>H5+H22</f>
        <v>0</v>
      </c>
      <c r="I49" s="280">
        <f>I5+I22</f>
        <v>0</v>
      </c>
      <c r="J49" s="280">
        <f>J5+J22</f>
        <v>0</v>
      </c>
      <c r="K49" s="420" t="s">
        <v>14</v>
      </c>
      <c r="L49" s="280">
        <f>L5+L22</f>
        <v>0</v>
      </c>
    </row>
    <row r="50" ht="18.75" spans="1:12">
      <c r="A50" s="399"/>
      <c r="B50" s="400"/>
      <c r="C50" s="400"/>
      <c r="D50" s="401"/>
      <c r="E50" s="278">
        <f t="shared" si="18"/>
        <v>186113466.91</v>
      </c>
      <c r="F50" s="280">
        <f t="shared" ref="F50:J51" si="20">F6+F23+F42</f>
        <v>42485803.97</v>
      </c>
      <c r="G50" s="280">
        <f t="shared" si="20"/>
        <v>72216581.02</v>
      </c>
      <c r="H50" s="280">
        <f t="shared" si="20"/>
        <v>71411081.92</v>
      </c>
      <c r="I50" s="280">
        <f t="shared" si="20"/>
        <v>0</v>
      </c>
      <c r="J50" s="280">
        <f t="shared" si="20"/>
        <v>0</v>
      </c>
      <c r="K50" s="420" t="s">
        <v>71</v>
      </c>
      <c r="L50" s="281">
        <f t="shared" ref="L50:L51" si="21">L6+L23+L42</f>
        <v>-2325000.48</v>
      </c>
    </row>
    <row r="51" ht="18.75" customHeight="1" spans="1:12">
      <c r="A51" s="399"/>
      <c r="B51" s="400"/>
      <c r="C51" s="400"/>
      <c r="D51" s="401"/>
      <c r="E51" s="278">
        <f t="shared" si="18"/>
        <v>21748343.59</v>
      </c>
      <c r="F51" s="280">
        <f t="shared" si="20"/>
        <v>2128776.56</v>
      </c>
      <c r="G51" s="280">
        <f t="shared" si="20"/>
        <v>17410976.87</v>
      </c>
      <c r="H51" s="280">
        <f t="shared" si="20"/>
        <v>2208590.16</v>
      </c>
      <c r="I51" s="280">
        <f t="shared" si="20"/>
        <v>0</v>
      </c>
      <c r="J51" s="280">
        <f t="shared" si="20"/>
        <v>0</v>
      </c>
      <c r="K51" s="287" t="s">
        <v>16</v>
      </c>
      <c r="L51" s="281">
        <f t="shared" si="21"/>
        <v>-23484.85</v>
      </c>
    </row>
    <row r="52" ht="18.75" customHeight="1" spans="1:12">
      <c r="A52" s="402"/>
      <c r="B52" s="403"/>
      <c r="C52" s="403"/>
      <c r="D52" s="404"/>
      <c r="E52" s="278">
        <f t="shared" si="18"/>
        <v>108860827.93</v>
      </c>
      <c r="F52" s="282">
        <f>F25+F8</f>
        <v>41735222.73</v>
      </c>
      <c r="G52" s="283">
        <f>G25+G8</f>
        <v>66062802.6</v>
      </c>
      <c r="H52" s="282">
        <f t="shared" ref="H52:J52" si="22">H25</f>
        <v>1062802.6</v>
      </c>
      <c r="I52" s="282">
        <f t="shared" si="22"/>
        <v>0</v>
      </c>
      <c r="J52" s="282">
        <f t="shared" si="22"/>
        <v>0</v>
      </c>
      <c r="K52" s="287" t="s">
        <v>73</v>
      </c>
      <c r="L52" s="283">
        <f>L25+L8</f>
        <v>17057864.85</v>
      </c>
    </row>
    <row r="53" ht="18.75" spans="1:11">
      <c r="A53" s="284" t="s">
        <v>115</v>
      </c>
      <c r="B53" s="284"/>
      <c r="C53" s="284"/>
      <c r="D53" s="284"/>
      <c r="E53" s="323"/>
      <c r="F53" s="323"/>
      <c r="G53" s="323"/>
      <c r="H53" s="323"/>
      <c r="I53" s="323"/>
      <c r="J53" s="323"/>
      <c r="K53" s="340"/>
    </row>
    <row r="54" ht="15.75" spans="2:11">
      <c r="B54" s="467"/>
      <c r="C54" s="467"/>
      <c r="D54" s="467"/>
      <c r="E54" s="2">
        <f>E51+E52</f>
        <v>130609171.52</v>
      </c>
      <c r="J54" s="479"/>
      <c r="K54" s="479"/>
    </row>
    <row r="55" ht="15.75" spans="9:11">
      <c r="I55" s="3" t="s">
        <v>87</v>
      </c>
      <c r="J55" s="480"/>
      <c r="K55" s="480">
        <v>178063747.64</v>
      </c>
    </row>
    <row r="56" s="1" customFormat="1" ht="15.75" spans="1:12">
      <c r="A56" s="3"/>
      <c r="B56" s="3"/>
      <c r="C56" s="3"/>
      <c r="D56" s="3"/>
      <c r="E56" s="3"/>
      <c r="F56" s="3"/>
      <c r="G56" s="3"/>
      <c r="H56" s="3"/>
      <c r="I56" s="3" t="s">
        <v>88</v>
      </c>
      <c r="J56" s="480"/>
      <c r="K56" s="480">
        <v>506829756.46</v>
      </c>
      <c r="L56" s="85"/>
    </row>
    <row r="57" s="1" customFormat="1" ht="15.75" spans="1:12">
      <c r="A57" s="3"/>
      <c r="B57" s="3"/>
      <c r="C57" s="3"/>
      <c r="D57" s="3"/>
      <c r="E57" s="2">
        <f>L48</f>
        <v>14709379.52</v>
      </c>
      <c r="F57" s="3"/>
      <c r="G57" s="3"/>
      <c r="H57" s="3"/>
      <c r="I57" s="3"/>
      <c r="J57" s="480"/>
      <c r="K57" s="481">
        <f>E48+K55+K56</f>
        <v>1267382997.92</v>
      </c>
      <c r="L57" s="85"/>
    </row>
  </sheetData>
  <mergeCells count="23">
    <mergeCell ref="B20:K20"/>
    <mergeCell ref="B40:K40"/>
    <mergeCell ref="A53:D53"/>
    <mergeCell ref="A4:A7"/>
    <mergeCell ref="A9:A16"/>
    <mergeCell ref="A17:A19"/>
    <mergeCell ref="A21:A25"/>
    <mergeCell ref="A26:A28"/>
    <mergeCell ref="A29:A32"/>
    <mergeCell ref="A33:A35"/>
    <mergeCell ref="A36:A39"/>
    <mergeCell ref="A41:A43"/>
    <mergeCell ref="A44:A47"/>
    <mergeCell ref="B4:B7"/>
    <mergeCell ref="B9:B16"/>
    <mergeCell ref="B17:B19"/>
    <mergeCell ref="B21:B25"/>
    <mergeCell ref="B26:B28"/>
    <mergeCell ref="B29:B32"/>
    <mergeCell ref="B33:B35"/>
    <mergeCell ref="B36:B39"/>
    <mergeCell ref="B41:B43"/>
    <mergeCell ref="B44:B47"/>
  </mergeCells>
  <pageMargins left="0.118110236220472" right="0.118110236220472" top="0.15748031496063" bottom="0.15748031496063" header="0.31496062992126" footer="0.31496062992126"/>
  <pageSetup paperSize="9" scale="71" fitToHeight="0" orientation="portrait" blackAndWhite="1" horizontalDpi="600" vertic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  <rangeList sheetStid="4" master="" otherUserPermission="visible"/>
  <rangeList sheetStid="5" master="" otherUserPermission="visible"/>
  <rangeList sheetStid="6" master="" otherUserPermission="visible"/>
  <rangeList sheetStid="7" master="" otherUserPermission="visible"/>
  <rangeList sheetStid="8" master="" otherUserPermission="visible"/>
  <rangeList sheetStid="9" master="" otherUserPermission="visible"/>
  <rangeList sheetStid="10" master="" otherUserPermission="visible"/>
  <rangeList sheetStid="11" master="" otherUserPermission="visible"/>
  <rangeList sheetStid="12" master="" otherUserPermission="visible"/>
  <rangeList sheetStid="13" master="" otherUserPermission="visible"/>
  <rangeList sheetStid="14" master="" otherUserPermission="visible"/>
  <rangeList sheetStid="15" master="" otherUserPermission="visible"/>
  <rangeList sheetStid="16" master="" otherUserPermission="visible"/>
  <rangeList sheetStid="17" master="" otherUserPermission="visible"/>
  <rangeList sheetStid="18" master="" otherUserPermission="visible"/>
  <rangeList sheetStid="19" master="" otherUserPermission="visible"/>
  <rangeList sheetStid="20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бюджет</vt:lpstr>
      <vt:lpstr>бюджет 20-22</vt:lpstr>
      <vt:lpstr>бюджет23-27</vt:lpstr>
      <vt:lpstr>изм 36</vt:lpstr>
      <vt:lpstr>изм 37Дума</vt:lpstr>
      <vt:lpstr>изм 38</vt:lpstr>
      <vt:lpstr>изм 39</vt:lpstr>
      <vt:lpstr>изм 40</vt:lpstr>
      <vt:lpstr>изм 41</vt:lpstr>
      <vt:lpstr>изм 42</vt:lpstr>
      <vt:lpstr>изм 43 </vt:lpstr>
      <vt:lpstr>бюджет изм 44</vt:lpstr>
      <vt:lpstr>изм 45</vt:lpstr>
      <vt:lpstr>изм 46</vt:lpstr>
      <vt:lpstr>изм 47)</vt:lpstr>
      <vt:lpstr>изм 48 коррект бюджет</vt:lpstr>
      <vt:lpstr>изм 57</vt:lpstr>
      <vt:lpstr>изм 56</vt:lpstr>
      <vt:lpstr>55.400-па от 23.04.2025</vt:lpstr>
      <vt:lpstr>54.330-па от 01.04.2024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ivleva</cp:lastModifiedBy>
  <cp:revision>28</cp:revision>
  <dcterms:created xsi:type="dcterms:W3CDTF">2006-09-16T00:00:00Z</dcterms:created>
  <dcterms:modified xsi:type="dcterms:W3CDTF">2025-05-28T23:52:37Z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7BD9461759AD452090ABA430579A922C_12</vt:lpwstr>
  </property>
  <property fmtid="{D5CDD505-2E9C-101B-9397-08002B2CF9AE}" pid="3" name="KSOProductBuildVer">
    <vt:lpwstr>1049-12.2.0.21179</vt:lpwstr>
  </property>
</Properties>
</file>